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-15" windowWidth="20520" windowHeight="4065" activeTab="5"/>
  </bookViews>
  <sheets>
    <sheet name="Menu" sheetId="23" r:id="rId1"/>
    <sheet name="Estadio" sheetId="28" state="hidden" r:id="rId2"/>
    <sheet name="- A -" sheetId="1" r:id="rId3"/>
    <sheet name="- B -" sheetId="4" r:id="rId4"/>
    <sheet name="Semifinal" sheetId="21" r:id="rId5"/>
    <sheet name="3er puesto y FINAL" sheetId="22" r:id="rId6"/>
    <sheet name="Resumen" sheetId="25" r:id="rId7"/>
    <sheet name="Historia" sheetId="29" state="hidden" r:id="rId8"/>
    <sheet name="calculoA" sheetId="3" state="hidden" r:id="rId9"/>
    <sheet name="calculoB" sheetId="5" state="hidden" r:id="rId10"/>
    <sheet name="cálculo A+B" sheetId="27" state="hidden" r:id="rId11"/>
  </sheets>
  <definedNames>
    <definedName name="_xlnm.Print_Area" localSheetId="5">'3er puesto y FINAL'!$A$1:$U$29</definedName>
    <definedName name="_xlnm.Print_Area" localSheetId="1">Estadio!$A$1:$P$36</definedName>
    <definedName name="_xlnm.Print_Area" localSheetId="0">Menu!$A$1:$R$41</definedName>
    <definedName name="_xlnm.Print_Area" localSheetId="6">Resumen!$A$6:$AG$70</definedName>
    <definedName name="_xlnm.Print_Area" localSheetId="4">Semifinal!$A$1:$X$28</definedName>
    <definedName name="Final">#REF!</definedName>
    <definedName name="FirstRound">#REF!</definedName>
    <definedName name="Groups">#REF!</definedName>
    <definedName name="Playoff">#REF!</definedName>
    <definedName name="QuarterFinals">#REF!</definedName>
    <definedName name="SecondRound">#REF!</definedName>
    <definedName name="SemiFinals">#REF!</definedName>
  </definedNames>
  <calcPr calcId="144525"/>
</workbook>
</file>

<file path=xl/calcChain.xml><?xml version="1.0" encoding="utf-8"?>
<calcChain xmlns="http://schemas.openxmlformats.org/spreadsheetml/2006/main">
  <c r="R24" i="4" l="1"/>
  <c r="Q24" i="4"/>
  <c r="A1" i="4" l="1"/>
  <c r="B4" i="5" l="1"/>
  <c r="C4" i="5"/>
  <c r="D4" i="5"/>
  <c r="F4" i="5"/>
  <c r="AJ4" i="5"/>
  <c r="AK4" i="5"/>
  <c r="AL4" i="5"/>
  <c r="B5" i="5"/>
  <c r="C5" i="5"/>
  <c r="D5" i="5"/>
  <c r="F5" i="5"/>
  <c r="AJ5" i="5"/>
  <c r="AK5" i="5"/>
  <c r="AL5" i="5"/>
  <c r="B6" i="5"/>
  <c r="C6" i="5"/>
  <c r="D6" i="5"/>
  <c r="F6" i="5"/>
  <c r="AJ6" i="5"/>
  <c r="AK6" i="5"/>
  <c r="AL6" i="5"/>
  <c r="B7" i="5"/>
  <c r="C7" i="5"/>
  <c r="D7" i="5"/>
  <c r="F7" i="5"/>
  <c r="AJ7" i="5"/>
  <c r="AK7" i="5"/>
  <c r="AL7" i="5"/>
  <c r="B8" i="5"/>
  <c r="C8" i="5"/>
  <c r="D8" i="5"/>
  <c r="F8" i="5"/>
  <c r="AJ8" i="5"/>
  <c r="AK8" i="5"/>
  <c r="AL8" i="5"/>
  <c r="B9" i="5"/>
  <c r="C9" i="5"/>
  <c r="D9" i="5"/>
  <c r="F9" i="5"/>
  <c r="AJ9" i="5"/>
  <c r="AK9" i="5"/>
  <c r="AL9" i="5"/>
  <c r="B4" i="3"/>
  <c r="C4" i="3"/>
  <c r="D4" i="3"/>
  <c r="F4" i="3"/>
  <c r="AJ4" i="3"/>
  <c r="AK4" i="3"/>
  <c r="AL4" i="3"/>
  <c r="B5" i="3"/>
  <c r="C5" i="3"/>
  <c r="D5" i="3"/>
  <c r="F5" i="3"/>
  <c r="AJ5" i="3"/>
  <c r="AK5" i="3"/>
  <c r="AL5" i="3"/>
  <c r="B6" i="3"/>
  <c r="C6" i="3"/>
  <c r="D6" i="3"/>
  <c r="F6" i="3"/>
  <c r="AJ6" i="3"/>
  <c r="AK6" i="3"/>
  <c r="AL6" i="3"/>
  <c r="B7" i="3"/>
  <c r="C7" i="3"/>
  <c r="D7" i="3"/>
  <c r="F7" i="3"/>
  <c r="AJ7" i="3"/>
  <c r="AK7" i="3"/>
  <c r="AL7" i="3"/>
  <c r="B8" i="3"/>
  <c r="C8" i="3"/>
  <c r="D8" i="3"/>
  <c r="F8" i="3"/>
  <c r="AJ8" i="3"/>
  <c r="AK8" i="3"/>
  <c r="AL8" i="3"/>
  <c r="B9" i="3"/>
  <c r="C9" i="3"/>
  <c r="D9" i="3"/>
  <c r="F9" i="3"/>
  <c r="AJ9" i="3"/>
  <c r="AK9" i="3"/>
  <c r="AL9" i="3"/>
  <c r="B1" i="25"/>
  <c r="B2" i="25"/>
  <c r="B3" i="25"/>
  <c r="C10" i="25"/>
  <c r="D10" i="25"/>
  <c r="E10" i="25"/>
  <c r="J10" i="25"/>
  <c r="K10" i="25"/>
  <c r="L10" i="25"/>
  <c r="C12" i="25"/>
  <c r="D12" i="25"/>
  <c r="E12" i="25"/>
  <c r="J12" i="25"/>
  <c r="K12" i="25"/>
  <c r="L12" i="25"/>
  <c r="C14" i="25"/>
  <c r="D14" i="25"/>
  <c r="E14" i="25"/>
  <c r="J14" i="25"/>
  <c r="K14" i="25"/>
  <c r="L14" i="25"/>
  <c r="C16" i="25"/>
  <c r="D16" i="25"/>
  <c r="E16" i="25"/>
  <c r="J16" i="25"/>
  <c r="K16" i="25"/>
  <c r="L16" i="25"/>
  <c r="C18" i="25"/>
  <c r="D18" i="25"/>
  <c r="E18" i="25"/>
  <c r="J18" i="25"/>
  <c r="K18" i="25"/>
  <c r="L18" i="25"/>
  <c r="C20" i="25"/>
  <c r="D20" i="25"/>
  <c r="E20" i="25"/>
  <c r="J20" i="25"/>
  <c r="K20" i="25"/>
  <c r="L20" i="25"/>
  <c r="Q46" i="25"/>
  <c r="R46" i="25"/>
  <c r="S46" i="25"/>
  <c r="Q48" i="25"/>
  <c r="R48" i="25"/>
  <c r="S48" i="25"/>
  <c r="X53" i="25"/>
  <c r="Y53" i="25"/>
  <c r="Z53" i="25"/>
  <c r="X54" i="25"/>
  <c r="Y54" i="25"/>
  <c r="Z54" i="25"/>
  <c r="X59" i="25"/>
  <c r="Y59" i="25"/>
  <c r="Z59" i="25"/>
  <c r="X61" i="25"/>
  <c r="Y61" i="25"/>
  <c r="Z61" i="25"/>
  <c r="Q64" i="25"/>
  <c r="R64" i="25"/>
  <c r="S64" i="25"/>
  <c r="Q66" i="25"/>
  <c r="R66" i="25"/>
  <c r="S66" i="25"/>
  <c r="L4" i="22"/>
  <c r="M4" i="22"/>
  <c r="R27" i="22" s="1"/>
  <c r="L4" i="21"/>
  <c r="M4" i="21"/>
  <c r="R23" i="21" s="1"/>
  <c r="Q7" i="4"/>
  <c r="G2" i="5" s="1"/>
  <c r="F16" i="5" s="1"/>
  <c r="Q9" i="4"/>
  <c r="N2" i="5" s="1"/>
  <c r="F17" i="5" s="1"/>
  <c r="Q11" i="4"/>
  <c r="B7" i="4" s="1"/>
  <c r="Q13" i="4"/>
  <c r="F6" i="4" s="1"/>
  <c r="Q25" i="4"/>
  <c r="Q7" i="1"/>
  <c r="G2" i="3" s="1"/>
  <c r="F16" i="3" s="1"/>
  <c r="Q9" i="1"/>
  <c r="F7" i="1" s="1"/>
  <c r="Q11" i="1"/>
  <c r="F10" i="1" s="1"/>
  <c r="Q13" i="1"/>
  <c r="B9" i="1" s="1"/>
  <c r="Q24" i="1"/>
  <c r="R24" i="1"/>
  <c r="R25" i="1" s="1"/>
  <c r="M2" i="23"/>
  <c r="M1" i="23" s="1"/>
  <c r="AM5" i="3" l="1"/>
  <c r="AM9" i="3"/>
  <c r="AM5" i="5"/>
  <c r="AM7" i="3"/>
  <c r="AM9" i="5"/>
  <c r="AM7" i="5"/>
  <c r="AM4" i="5"/>
  <c r="AM8" i="5"/>
  <c r="L9" i="1"/>
  <c r="A9" i="1" s="1"/>
  <c r="B10" i="1"/>
  <c r="A8" i="3" s="1"/>
  <c r="G8" i="3" s="1"/>
  <c r="B11" i="4"/>
  <c r="I20" i="25" s="1"/>
  <c r="F9" i="4"/>
  <c r="E7" i="5" s="1"/>
  <c r="F11" i="1"/>
  <c r="F20" i="25" s="1"/>
  <c r="B8" i="1"/>
  <c r="A6" i="3" s="1"/>
  <c r="AM6" i="5"/>
  <c r="AM8" i="3"/>
  <c r="AC8" i="3" s="1"/>
  <c r="E8" i="3"/>
  <c r="F18" i="25"/>
  <c r="E4" i="5"/>
  <c r="M10" i="25"/>
  <c r="A7" i="3"/>
  <c r="B16" i="25"/>
  <c r="E5" i="3"/>
  <c r="F12" i="25"/>
  <c r="A5" i="5"/>
  <c r="I12" i="25"/>
  <c r="F8" i="1"/>
  <c r="B7" i="1"/>
  <c r="B6" i="4"/>
  <c r="E9" i="3"/>
  <c r="AB2" i="3"/>
  <c r="F19" i="3" s="1"/>
  <c r="O19" i="3" s="1"/>
  <c r="S19" i="3" s="1"/>
  <c r="AB2" i="5"/>
  <c r="F19" i="5" s="1"/>
  <c r="O19" i="5" s="1"/>
  <c r="S19" i="5" s="1"/>
  <c r="F6" i="1"/>
  <c r="F10" i="4"/>
  <c r="B9" i="4"/>
  <c r="F7" i="4"/>
  <c r="M16" i="25"/>
  <c r="U2" i="3"/>
  <c r="F18" i="3" s="1"/>
  <c r="O18" i="3" s="1"/>
  <c r="U2" i="5"/>
  <c r="F18" i="5" s="1"/>
  <c r="O18" i="5" s="1"/>
  <c r="B11" i="1"/>
  <c r="F9" i="1"/>
  <c r="B6" i="1"/>
  <c r="B10" i="4"/>
  <c r="F8" i="4"/>
  <c r="N2" i="3"/>
  <c r="F17" i="3" s="1"/>
  <c r="F11" i="4"/>
  <c r="B8" i="4"/>
  <c r="AM6" i="3"/>
  <c r="AM4" i="3"/>
  <c r="K8" i="3"/>
  <c r="N2" i="23"/>
  <c r="Q25" i="1"/>
  <c r="R26" i="1" s="1"/>
  <c r="L10" i="1" s="1"/>
  <c r="A10" i="1" s="1"/>
  <c r="S23" i="21"/>
  <c r="S24" i="21" s="1"/>
  <c r="E9" i="22"/>
  <c r="A9" i="22" s="1"/>
  <c r="S27" i="22"/>
  <c r="S28" i="22" s="1"/>
  <c r="E16" i="22" s="1"/>
  <c r="A16" i="22" s="1"/>
  <c r="J8" i="3"/>
  <c r="L7" i="4"/>
  <c r="A7" i="4" s="1"/>
  <c r="R25" i="4"/>
  <c r="R26" i="4" s="1"/>
  <c r="L10" i="4" s="1"/>
  <c r="A10" i="4" s="1"/>
  <c r="AB8" i="3"/>
  <c r="AF8" i="3"/>
  <c r="L11" i="1" l="1"/>
  <c r="A11" i="1" s="1"/>
  <c r="L8" i="4"/>
  <c r="A8" i="4" s="1"/>
  <c r="L11" i="4"/>
  <c r="A11" i="4" s="1"/>
  <c r="L9" i="4"/>
  <c r="A9" i="4" s="1"/>
  <c r="L6" i="4"/>
  <c r="A6" i="4" s="1"/>
  <c r="L7" i="1"/>
  <c r="A7" i="1" s="1"/>
  <c r="L8" i="1"/>
  <c r="A8" i="1" s="1"/>
  <c r="L6" i="1"/>
  <c r="A6" i="1" s="1"/>
  <c r="AE8" i="3"/>
  <c r="L8" i="3"/>
  <c r="B18" i="25"/>
  <c r="A9" i="5"/>
  <c r="X8" i="3"/>
  <c r="U8" i="3"/>
  <c r="Z8" i="3"/>
  <c r="V8" i="3"/>
  <c r="Y8" i="3"/>
  <c r="R8" i="3"/>
  <c r="Q8" i="3"/>
  <c r="N8" i="3"/>
  <c r="S8" i="3"/>
  <c r="O8" i="3"/>
  <c r="B14" i="25"/>
  <c r="H8" i="3"/>
  <c r="I8" i="3" s="1"/>
  <c r="I14" i="25"/>
  <c r="A6" i="5"/>
  <c r="A4" i="3"/>
  <c r="B10" i="25"/>
  <c r="A7" i="5"/>
  <c r="I16" i="25"/>
  <c r="A5" i="3"/>
  <c r="B12" i="25"/>
  <c r="M20" i="25"/>
  <c r="E9" i="5"/>
  <c r="E7" i="3"/>
  <c r="R7" i="3" s="1"/>
  <c r="F16" i="25"/>
  <c r="M18" i="25"/>
  <c r="E8" i="5"/>
  <c r="E6" i="3"/>
  <c r="S6" i="3" s="1"/>
  <c r="F14" i="25"/>
  <c r="AG8" i="3"/>
  <c r="M14" i="25"/>
  <c r="E6" i="5"/>
  <c r="B20" i="25"/>
  <c r="A9" i="3"/>
  <c r="E4" i="3"/>
  <c r="F10" i="25"/>
  <c r="I18" i="25"/>
  <c r="A8" i="5"/>
  <c r="E5" i="5"/>
  <c r="M12" i="25"/>
  <c r="A4" i="5"/>
  <c r="I10" i="25"/>
  <c r="AD8" i="3"/>
  <c r="AG9" i="5" l="1"/>
  <c r="V6" i="3"/>
  <c r="W8" i="3"/>
  <c r="O6" i="3"/>
  <c r="AC9" i="5"/>
  <c r="P8" i="3"/>
  <c r="J6" i="3"/>
  <c r="K6" i="3"/>
  <c r="X6" i="3"/>
  <c r="Z6" i="3"/>
  <c r="AC6" i="3"/>
  <c r="R6" i="3"/>
  <c r="L6" i="3"/>
  <c r="AF6" i="3"/>
  <c r="Y6" i="3"/>
  <c r="AE6" i="3"/>
  <c r="AG6" i="3"/>
  <c r="Q6" i="3"/>
  <c r="H6" i="3"/>
  <c r="G5" i="5"/>
  <c r="S5" i="5"/>
  <c r="Z5" i="5"/>
  <c r="H5" i="5"/>
  <c r="R5" i="5"/>
  <c r="AF5" i="5"/>
  <c r="J5" i="5"/>
  <c r="AE5" i="5"/>
  <c r="K5" i="5"/>
  <c r="O5" i="5"/>
  <c r="X5" i="5"/>
  <c r="Q5" i="5"/>
  <c r="AG5" i="5"/>
  <c r="AC5" i="5"/>
  <c r="L5" i="5"/>
  <c r="V5" i="5"/>
  <c r="Y5" i="5"/>
  <c r="AE7" i="3"/>
  <c r="J7" i="3"/>
  <c r="AF7" i="3"/>
  <c r="Z7" i="3"/>
  <c r="K7" i="3"/>
  <c r="Y7" i="3"/>
  <c r="L7" i="3"/>
  <c r="AG7" i="3"/>
  <c r="X7" i="3"/>
  <c r="Q7" i="3"/>
  <c r="S7" i="3"/>
  <c r="L9" i="5"/>
  <c r="R9" i="5"/>
  <c r="S9" i="5"/>
  <c r="Q9" i="5"/>
  <c r="AF9" i="5"/>
  <c r="Y9" i="5"/>
  <c r="AE9" i="5"/>
  <c r="K9" i="5"/>
  <c r="Z9" i="5"/>
  <c r="J9" i="5"/>
  <c r="X9" i="5"/>
  <c r="AC4" i="5"/>
  <c r="AB4" i="5"/>
  <c r="G4" i="5"/>
  <c r="AE4" i="5"/>
  <c r="V4" i="5"/>
  <c r="AG4" i="5"/>
  <c r="R4" i="5"/>
  <c r="H4" i="5"/>
  <c r="X4" i="5"/>
  <c r="J4" i="5"/>
  <c r="N4" i="5"/>
  <c r="K4" i="5"/>
  <c r="Z4" i="5"/>
  <c r="U4" i="5"/>
  <c r="Y4" i="5"/>
  <c r="O4" i="5"/>
  <c r="S4" i="5"/>
  <c r="AF4" i="5"/>
  <c r="Q4" i="5"/>
  <c r="L4" i="5"/>
  <c r="N6" i="3"/>
  <c r="G6" i="3"/>
  <c r="AB6" i="3"/>
  <c r="U6" i="3"/>
  <c r="W6" i="3" s="1"/>
  <c r="V7" i="3"/>
  <c r="G7" i="3"/>
  <c r="N7" i="3"/>
  <c r="AC7" i="3"/>
  <c r="H7" i="3"/>
  <c r="U7" i="3"/>
  <c r="Q5" i="3"/>
  <c r="AG5" i="3"/>
  <c r="O5" i="3"/>
  <c r="AC5" i="3"/>
  <c r="Y5" i="3"/>
  <c r="V5" i="3"/>
  <c r="S5" i="3"/>
  <c r="R5" i="3"/>
  <c r="G5" i="3"/>
  <c r="K5" i="3"/>
  <c r="L5" i="3"/>
  <c r="X5" i="3"/>
  <c r="H5" i="3"/>
  <c r="J5" i="3"/>
  <c r="AE5" i="3"/>
  <c r="N5" i="3"/>
  <c r="AB5" i="3"/>
  <c r="AF5" i="3"/>
  <c r="U5" i="3"/>
  <c r="Z5" i="3"/>
  <c r="AB5" i="5"/>
  <c r="AD5" i="5" s="1"/>
  <c r="AB7" i="3"/>
  <c r="V9" i="5"/>
  <c r="O9" i="5"/>
  <c r="G9" i="5"/>
  <c r="H9" i="5"/>
  <c r="AB9" i="5"/>
  <c r="U9" i="5"/>
  <c r="N9" i="5"/>
  <c r="V4" i="3"/>
  <c r="R4" i="3"/>
  <c r="K4" i="3"/>
  <c r="J4" i="3"/>
  <c r="O4" i="3"/>
  <c r="AC4" i="3"/>
  <c r="X4" i="3"/>
  <c r="AB4" i="3"/>
  <c r="AG4" i="3"/>
  <c r="AE4" i="3"/>
  <c r="Q4" i="3"/>
  <c r="AF4" i="3"/>
  <c r="Z4" i="3"/>
  <c r="Y4" i="3"/>
  <c r="H4" i="3"/>
  <c r="N4" i="3"/>
  <c r="G4" i="3"/>
  <c r="U4" i="3"/>
  <c r="S4" i="3"/>
  <c r="L4" i="3"/>
  <c r="N5" i="5"/>
  <c r="U5" i="5"/>
  <c r="W5" i="5" s="1"/>
  <c r="AG6" i="5"/>
  <c r="H6" i="5"/>
  <c r="AC6" i="5"/>
  <c r="X6" i="5"/>
  <c r="J6" i="5"/>
  <c r="L6" i="5"/>
  <c r="S6" i="5"/>
  <c r="Y6" i="5"/>
  <c r="U6" i="5"/>
  <c r="Q6" i="5"/>
  <c r="AF6" i="5"/>
  <c r="AB6" i="5"/>
  <c r="V6" i="5"/>
  <c r="O6" i="5"/>
  <c r="K6" i="5"/>
  <c r="Z6" i="5"/>
  <c r="G6" i="5"/>
  <c r="AE6" i="5"/>
  <c r="R6" i="5"/>
  <c r="N6" i="5"/>
  <c r="V8" i="5"/>
  <c r="R8" i="5"/>
  <c r="AE8" i="5"/>
  <c r="K8" i="5"/>
  <c r="N8" i="5"/>
  <c r="Z8" i="5"/>
  <c r="AC8" i="5"/>
  <c r="J8" i="5"/>
  <c r="AG8" i="5"/>
  <c r="L8" i="5"/>
  <c r="G8" i="5"/>
  <c r="AF8" i="5"/>
  <c r="X8" i="5"/>
  <c r="O8" i="5"/>
  <c r="Q8" i="5"/>
  <c r="S8" i="5"/>
  <c r="Y8" i="5"/>
  <c r="AB8" i="5"/>
  <c r="H8" i="5"/>
  <c r="U8" i="5"/>
  <c r="L9" i="3"/>
  <c r="X9" i="3"/>
  <c r="AE9" i="3"/>
  <c r="S9" i="3"/>
  <c r="Y9" i="3"/>
  <c r="AG9" i="3"/>
  <c r="V9" i="3"/>
  <c r="J9" i="3"/>
  <c r="AB9" i="3"/>
  <c r="AF9" i="3"/>
  <c r="G9" i="3"/>
  <c r="Z9" i="3"/>
  <c r="K9" i="3"/>
  <c r="N9" i="3"/>
  <c r="Q9" i="3"/>
  <c r="O9" i="3"/>
  <c r="AC9" i="3"/>
  <c r="H9" i="3"/>
  <c r="R9" i="3"/>
  <c r="U9" i="3"/>
  <c r="G7" i="5"/>
  <c r="X7" i="5"/>
  <c r="AG7" i="5"/>
  <c r="K7" i="5"/>
  <c r="AC7" i="5"/>
  <c r="O7" i="5"/>
  <c r="R7" i="5"/>
  <c r="V7" i="5"/>
  <c r="J7" i="5"/>
  <c r="Q7" i="5"/>
  <c r="N7" i="5"/>
  <c r="Y7" i="5"/>
  <c r="S7" i="5"/>
  <c r="AF7" i="5"/>
  <c r="AE7" i="5"/>
  <c r="L7" i="5"/>
  <c r="U7" i="5"/>
  <c r="AB7" i="5"/>
  <c r="Z7" i="5"/>
  <c r="H7" i="5"/>
  <c r="O7" i="3"/>
  <c r="AD7" i="3" l="1"/>
  <c r="AD9" i="5"/>
  <c r="P6" i="3"/>
  <c r="W8" i="5"/>
  <c r="I5" i="5"/>
  <c r="P5" i="5"/>
  <c r="AD6" i="3"/>
  <c r="I6" i="3"/>
  <c r="AD7" i="5"/>
  <c r="I7" i="5"/>
  <c r="AD8" i="5"/>
  <c r="W5" i="3"/>
  <c r="P6" i="5"/>
  <c r="I6" i="5"/>
  <c r="W9" i="5"/>
  <c r="AD5" i="3"/>
  <c r="O10" i="3"/>
  <c r="T10" i="3" s="1"/>
  <c r="M17" i="3" s="1"/>
  <c r="V10" i="3"/>
  <c r="H18" i="3" s="1"/>
  <c r="W9" i="3"/>
  <c r="Q10" i="3"/>
  <c r="J17" i="3" s="1"/>
  <c r="K10" i="3"/>
  <c r="K16" i="3" s="1"/>
  <c r="I4" i="3"/>
  <c r="G10" i="3"/>
  <c r="G16" i="3" s="1"/>
  <c r="AG10" i="3"/>
  <c r="L19" i="3" s="1"/>
  <c r="W7" i="5"/>
  <c r="AD9" i="3"/>
  <c r="P8" i="5"/>
  <c r="L10" i="3"/>
  <c r="L16" i="3" s="1"/>
  <c r="P4" i="3"/>
  <c r="N10" i="3"/>
  <c r="G17" i="3" s="1"/>
  <c r="AF10" i="3"/>
  <c r="K19" i="3" s="1"/>
  <c r="AB10" i="3"/>
  <c r="G19" i="3" s="1"/>
  <c r="AD4" i="3"/>
  <c r="J10" i="3"/>
  <c r="J16" i="3" s="1"/>
  <c r="P9" i="5"/>
  <c r="I9" i="5"/>
  <c r="L10" i="5"/>
  <c r="L16" i="5" s="1"/>
  <c r="O10" i="5"/>
  <c r="K10" i="5"/>
  <c r="K16" i="5" s="1"/>
  <c r="I4" i="5"/>
  <c r="H10" i="5"/>
  <c r="AE10" i="5"/>
  <c r="J19" i="5" s="1"/>
  <c r="W6" i="5"/>
  <c r="S10" i="3"/>
  <c r="L17" i="3" s="1"/>
  <c r="H10" i="3"/>
  <c r="X10" i="3"/>
  <c r="J18" i="3" s="1"/>
  <c r="I5" i="3"/>
  <c r="P7" i="3"/>
  <c r="Q10" i="5"/>
  <c r="J17" i="5" s="1"/>
  <c r="Y10" i="5"/>
  <c r="K18" i="5" s="1"/>
  <c r="P4" i="5"/>
  <c r="N10" i="5"/>
  <c r="G17" i="5" s="1"/>
  <c r="R10" i="5"/>
  <c r="K17" i="5" s="1"/>
  <c r="G10" i="5"/>
  <c r="G16" i="5" s="1"/>
  <c r="P7" i="5"/>
  <c r="I9" i="3"/>
  <c r="I8" i="5"/>
  <c r="AD6" i="5"/>
  <c r="W4" i="3"/>
  <c r="U10" i="3"/>
  <c r="G18" i="3" s="1"/>
  <c r="Y10" i="3"/>
  <c r="K18" i="3" s="1"/>
  <c r="AE10" i="3"/>
  <c r="J19" i="3" s="1"/>
  <c r="AC10" i="3"/>
  <c r="R10" i="3"/>
  <c r="K17" i="3" s="1"/>
  <c r="P5" i="3"/>
  <c r="W7" i="3"/>
  <c r="I7" i="3"/>
  <c r="AF10" i="5"/>
  <c r="K19" i="5" s="1"/>
  <c r="W4" i="5"/>
  <c r="U10" i="5"/>
  <c r="G18" i="5" s="1"/>
  <c r="J10" i="5"/>
  <c r="J16" i="5" s="1"/>
  <c r="AG10" i="5"/>
  <c r="L19" i="5" s="1"/>
  <c r="AB10" i="5"/>
  <c r="G19" i="5" s="1"/>
  <c r="AD4" i="5"/>
  <c r="P9" i="3"/>
  <c r="Z10" i="3"/>
  <c r="L18" i="3" s="1"/>
  <c r="S10" i="5"/>
  <c r="L17" i="5" s="1"/>
  <c r="Z10" i="5"/>
  <c r="L18" i="5" s="1"/>
  <c r="X10" i="5"/>
  <c r="J18" i="5" s="1"/>
  <c r="V10" i="5"/>
  <c r="AC10" i="5"/>
  <c r="W10" i="5" l="1"/>
  <c r="I18" i="5" s="1"/>
  <c r="AD10" i="5"/>
  <c r="I19" i="5" s="1"/>
  <c r="AA10" i="3"/>
  <c r="M18" i="3" s="1"/>
  <c r="I10" i="5"/>
  <c r="I16" i="5" s="1"/>
  <c r="H17" i="3"/>
  <c r="AH10" i="3"/>
  <c r="M19" i="3" s="1"/>
  <c r="H19" i="3"/>
  <c r="W10" i="3"/>
  <c r="I18" i="3" s="1"/>
  <c r="P10" i="5"/>
  <c r="I17" i="5" s="1"/>
  <c r="AA10" i="5"/>
  <c r="M18" i="5" s="1"/>
  <c r="P18" i="5" s="1"/>
  <c r="H18" i="5"/>
  <c r="H17" i="5"/>
  <c r="T10" i="5"/>
  <c r="M17" i="5" s="1"/>
  <c r="I10" i="3"/>
  <c r="I16" i="3" s="1"/>
  <c r="AH10" i="5"/>
  <c r="M19" i="5" s="1"/>
  <c r="H19" i="5"/>
  <c r="H16" i="3"/>
  <c r="M10" i="3"/>
  <c r="M16" i="3" s="1"/>
  <c r="M10" i="5"/>
  <c r="M16" i="5" s="1"/>
  <c r="H16" i="5"/>
  <c r="AD10" i="3"/>
  <c r="I19" i="3" s="1"/>
  <c r="P10" i="3"/>
  <c r="I17" i="3" s="1"/>
  <c r="O16" i="5" l="1"/>
  <c r="P16" i="5" s="1"/>
  <c r="S16" i="5" s="1"/>
  <c r="P19" i="5"/>
  <c r="O16" i="3"/>
  <c r="O17" i="3"/>
  <c r="P19" i="3"/>
  <c r="O17" i="5"/>
  <c r="P18" i="3"/>
  <c r="T16" i="5" l="1"/>
  <c r="S18" i="5"/>
  <c r="W18" i="5" s="1"/>
  <c r="P16" i="3"/>
  <c r="S16" i="3" s="1"/>
  <c r="T16" i="3" s="1"/>
  <c r="P17" i="3"/>
  <c r="S17" i="3"/>
  <c r="P17" i="5"/>
  <c r="T18" i="5" s="1"/>
  <c r="S17" i="5"/>
  <c r="T19" i="5" l="1"/>
  <c r="T19" i="3"/>
  <c r="W16" i="3" s="1"/>
  <c r="AA16" i="3" s="1"/>
  <c r="AE16" i="3" s="1"/>
  <c r="AI16" i="3" s="1"/>
  <c r="T17" i="3"/>
  <c r="W17" i="3"/>
  <c r="S18" i="3"/>
  <c r="W17" i="5"/>
  <c r="T17" i="5"/>
  <c r="X18" i="5" s="1"/>
  <c r="X17" i="3" l="1"/>
  <c r="W19" i="5"/>
  <c r="W16" i="5"/>
  <c r="W19" i="3"/>
  <c r="AA19" i="3" s="1"/>
  <c r="X16" i="3"/>
  <c r="AB16" i="3" s="1"/>
  <c r="AF16" i="3" s="1"/>
  <c r="AJ16" i="3" s="1"/>
  <c r="J28" i="3" s="1"/>
  <c r="W18" i="3"/>
  <c r="T18" i="3"/>
  <c r="X17" i="5"/>
  <c r="F28" i="3"/>
  <c r="L28" i="3"/>
  <c r="K28" i="3"/>
  <c r="X19" i="3" l="1"/>
  <c r="AB19" i="3" s="1"/>
  <c r="X18" i="3"/>
  <c r="AA18" i="3" s="1"/>
  <c r="X19" i="5"/>
  <c r="AA19" i="5"/>
  <c r="AA16" i="5"/>
  <c r="AE16" i="5" s="1"/>
  <c r="AI16" i="5" s="1"/>
  <c r="X16" i="5"/>
  <c r="AA18" i="5"/>
  <c r="AA17" i="5"/>
  <c r="AB17" i="5" s="1"/>
  <c r="M28" i="3"/>
  <c r="AB19" i="5" l="1"/>
  <c r="AE19" i="5" s="1"/>
  <c r="AB16" i="5"/>
  <c r="AF16" i="5" s="1"/>
  <c r="AJ16" i="5" s="1"/>
  <c r="J28" i="5" s="1"/>
  <c r="AA17" i="3"/>
  <c r="AB17" i="3" s="1"/>
  <c r="AE19" i="3" s="1"/>
  <c r="AF19" i="3" s="1"/>
  <c r="F28" i="5"/>
  <c r="K28" i="5"/>
  <c r="L28" i="5"/>
  <c r="AE18" i="3"/>
  <c r="AB18" i="3"/>
  <c r="AE18" i="5"/>
  <c r="AB18" i="5"/>
  <c r="AE17" i="5" l="1"/>
  <c r="AI17" i="5" s="1"/>
  <c r="AE17" i="3"/>
  <c r="AI17" i="3" s="1"/>
  <c r="L29" i="3" s="1"/>
  <c r="AF19" i="5"/>
  <c r="AF18" i="5"/>
  <c r="AF18" i="3"/>
  <c r="AI18" i="3" s="1"/>
  <c r="M28" i="5"/>
  <c r="AF17" i="3" l="1"/>
  <c r="AJ17" i="3" s="1"/>
  <c r="J29" i="3" s="1"/>
  <c r="K29" i="3"/>
  <c r="M29" i="3" s="1"/>
  <c r="AF17" i="5"/>
  <c r="AJ17" i="5" s="1"/>
  <c r="J29" i="5" s="1"/>
  <c r="AI18" i="5"/>
  <c r="F30" i="5" s="1"/>
  <c r="O30" i="5" s="1"/>
  <c r="F29" i="3"/>
  <c r="AI19" i="5"/>
  <c r="AJ19" i="5" s="1"/>
  <c r="J31" i="5" s="1"/>
  <c r="AI19" i="3"/>
  <c r="L31" i="3" s="1"/>
  <c r="L29" i="5"/>
  <c r="F29" i="5"/>
  <c r="K29" i="5"/>
  <c r="AJ18" i="3"/>
  <c r="J30" i="3" s="1"/>
  <c r="K30" i="3"/>
  <c r="F30" i="3"/>
  <c r="O30" i="3" s="1"/>
  <c r="L30" i="3"/>
  <c r="O28" i="3" l="1"/>
  <c r="P28" i="3" s="1"/>
  <c r="O29" i="3"/>
  <c r="Q29" i="3" s="1"/>
  <c r="F31" i="5"/>
  <c r="O31" i="5" s="1"/>
  <c r="P31" i="5" s="1"/>
  <c r="AJ18" i="5"/>
  <c r="J30" i="5" s="1"/>
  <c r="P30" i="5" s="1"/>
  <c r="L30" i="5"/>
  <c r="K30" i="5"/>
  <c r="F31" i="3"/>
  <c r="O31" i="3" s="1"/>
  <c r="S31" i="3" s="1"/>
  <c r="L31" i="5"/>
  <c r="K31" i="5"/>
  <c r="AJ19" i="3"/>
  <c r="J31" i="3" s="1"/>
  <c r="K31" i="3"/>
  <c r="M31" i="3" s="1"/>
  <c r="P30" i="3"/>
  <c r="M30" i="3"/>
  <c r="Q30" i="3" s="1"/>
  <c r="M29" i="5"/>
  <c r="O29" i="5" s="1"/>
  <c r="S31" i="5" l="1"/>
  <c r="Q28" i="3"/>
  <c r="S30" i="3" s="1"/>
  <c r="T30" i="3" s="1"/>
  <c r="S29" i="3"/>
  <c r="U29" i="3" s="1"/>
  <c r="P31" i="3"/>
  <c r="T31" i="3" s="1"/>
  <c r="P29" i="3"/>
  <c r="M31" i="5"/>
  <c r="Q31" i="5" s="1"/>
  <c r="M30" i="5"/>
  <c r="Q30" i="5" s="1"/>
  <c r="Q31" i="3"/>
  <c r="U31" i="3" s="1"/>
  <c r="Q29" i="5"/>
  <c r="P29" i="5"/>
  <c r="S29" i="5"/>
  <c r="O28" i="5"/>
  <c r="S28" i="3" l="1"/>
  <c r="U28" i="3" s="1"/>
  <c r="W29" i="3"/>
  <c r="T29" i="3"/>
  <c r="W30" i="3"/>
  <c r="U30" i="3"/>
  <c r="W29" i="5"/>
  <c r="Q28" i="5"/>
  <c r="U31" i="5" s="1"/>
  <c r="P28" i="5"/>
  <c r="T29" i="5" s="1"/>
  <c r="T28" i="3" l="1"/>
  <c r="W28" i="3" s="1"/>
  <c r="Y29" i="3"/>
  <c r="Y30" i="3"/>
  <c r="U29" i="5"/>
  <c r="X30" i="3"/>
  <c r="X29" i="3"/>
  <c r="S30" i="5"/>
  <c r="S28" i="5"/>
  <c r="T31" i="5"/>
  <c r="W31" i="3" l="1"/>
  <c r="X31" i="3" s="1"/>
  <c r="Y28" i="3"/>
  <c r="AA28" i="3"/>
  <c r="AE28" i="3" s="1"/>
  <c r="X28" i="3"/>
  <c r="AA30" i="3"/>
  <c r="AB30" i="3" s="1"/>
  <c r="AA29" i="3"/>
  <c r="AC29" i="3" s="1"/>
  <c r="T28" i="5"/>
  <c r="U28" i="5"/>
  <c r="T30" i="5"/>
  <c r="U30" i="5"/>
  <c r="W30" i="5"/>
  <c r="Y31" i="3" l="1"/>
  <c r="AA31" i="3"/>
  <c r="AB31" i="3" s="1"/>
  <c r="AB28" i="3"/>
  <c r="AF28" i="3" s="1"/>
  <c r="AC28" i="3"/>
  <c r="AG28" i="3" s="1"/>
  <c r="AB29" i="3"/>
  <c r="AE30" i="3"/>
  <c r="AC30" i="3"/>
  <c r="W28" i="5"/>
  <c r="Y29" i="5"/>
  <c r="X30" i="5"/>
  <c r="Y30" i="5"/>
  <c r="W31" i="5"/>
  <c r="X29" i="5"/>
  <c r="AI28" i="3"/>
  <c r="AC31" i="3" l="1"/>
  <c r="AE29" i="3" s="1"/>
  <c r="AG30" i="3"/>
  <c r="AA29" i="5"/>
  <c r="AF30" i="3"/>
  <c r="AA30" i="5"/>
  <c r="AA31" i="5"/>
  <c r="Y31" i="5"/>
  <c r="X31" i="5"/>
  <c r="X28" i="5"/>
  <c r="AA28" i="5"/>
  <c r="Y28" i="5"/>
  <c r="AJ28" i="3"/>
  <c r="J40" i="3" s="1"/>
  <c r="AK28" i="3"/>
  <c r="K40" i="3" s="1"/>
  <c r="M40" i="3" s="1"/>
  <c r="F40" i="3"/>
  <c r="L40" i="3" s="1"/>
  <c r="AF29" i="3" l="1"/>
  <c r="AI29" i="3"/>
  <c r="F41" i="3" s="1"/>
  <c r="L41" i="3" s="1"/>
  <c r="AG29" i="3"/>
  <c r="AE31" i="3"/>
  <c r="AG31" i="3" s="1"/>
  <c r="AB29" i="5"/>
  <c r="AC29" i="5"/>
  <c r="AC28" i="5"/>
  <c r="AB28" i="5"/>
  <c r="AE28" i="5"/>
  <c r="AB31" i="5"/>
  <c r="AC31" i="5"/>
  <c r="AC30" i="5"/>
  <c r="AB30" i="5"/>
  <c r="AE30" i="5"/>
  <c r="AK29" i="3" l="1"/>
  <c r="K41" i="3" s="1"/>
  <c r="M41" i="3" s="1"/>
  <c r="AF31" i="3"/>
  <c r="AI31" i="3" s="1"/>
  <c r="AJ29" i="3"/>
  <c r="J41" i="3" s="1"/>
  <c r="O41" i="3" s="1"/>
  <c r="Q41" i="3" s="1"/>
  <c r="AE29" i="5"/>
  <c r="AG29" i="5" s="1"/>
  <c r="AE31" i="5"/>
  <c r="AG31" i="5" s="1"/>
  <c r="AG30" i="5"/>
  <c r="AF30" i="5"/>
  <c r="AI28" i="5"/>
  <c r="AF28" i="5"/>
  <c r="AG28" i="5"/>
  <c r="AI30" i="3" l="1"/>
  <c r="AJ30" i="3" s="1"/>
  <c r="J42" i="3" s="1"/>
  <c r="F43" i="3"/>
  <c r="O43" i="3" s="1"/>
  <c r="AJ31" i="3"/>
  <c r="J43" i="3" s="1"/>
  <c r="AK31" i="3"/>
  <c r="K43" i="3" s="1"/>
  <c r="M43" i="3" s="1"/>
  <c r="O40" i="3"/>
  <c r="Q40" i="3" s="1"/>
  <c r="AF29" i="5"/>
  <c r="AI29" i="5"/>
  <c r="F41" i="5" s="1"/>
  <c r="L41" i="5" s="1"/>
  <c r="AF31" i="5"/>
  <c r="AI30" i="5" s="1"/>
  <c r="AK30" i="3"/>
  <c r="K42" i="3" s="1"/>
  <c r="M42" i="3" s="1"/>
  <c r="AK28" i="5"/>
  <c r="K40" i="5" s="1"/>
  <c r="M40" i="5" s="1"/>
  <c r="AJ28" i="5"/>
  <c r="J40" i="5" s="1"/>
  <c r="F40" i="5"/>
  <c r="L40" i="5" s="1"/>
  <c r="P41" i="3"/>
  <c r="S41" i="3"/>
  <c r="R41" i="3"/>
  <c r="L43" i="3" l="1"/>
  <c r="R40" i="3"/>
  <c r="F42" i="3"/>
  <c r="O42" i="3" s="1"/>
  <c r="Q42" i="3" s="1"/>
  <c r="U41" i="3"/>
  <c r="P40" i="3"/>
  <c r="AK29" i="5"/>
  <c r="K41" i="5" s="1"/>
  <c r="M41" i="5" s="1"/>
  <c r="AJ29" i="5"/>
  <c r="J41" i="5" s="1"/>
  <c r="AI31" i="5"/>
  <c r="AK31" i="5" s="1"/>
  <c r="K43" i="5" s="1"/>
  <c r="M43" i="5" s="1"/>
  <c r="W41" i="3"/>
  <c r="AJ30" i="5"/>
  <c r="J42" i="5" s="1"/>
  <c r="AK30" i="5"/>
  <c r="K42" i="5" s="1"/>
  <c r="M42" i="5" s="1"/>
  <c r="F42" i="5"/>
  <c r="V41" i="3"/>
  <c r="T41" i="3"/>
  <c r="P43" i="3"/>
  <c r="S43" i="3"/>
  <c r="R43" i="3" l="1"/>
  <c r="Q43" i="3"/>
  <c r="L42" i="3"/>
  <c r="R42" i="3" s="1"/>
  <c r="P42" i="3"/>
  <c r="O41" i="5"/>
  <c r="P41" i="5" s="1"/>
  <c r="O40" i="5"/>
  <c r="R40" i="5" s="1"/>
  <c r="AJ31" i="5"/>
  <c r="J43" i="5" s="1"/>
  <c r="F43" i="5"/>
  <c r="O43" i="5" s="1"/>
  <c r="L42" i="5"/>
  <c r="O42" i="5"/>
  <c r="T43" i="3"/>
  <c r="U43" i="3"/>
  <c r="V43" i="3"/>
  <c r="S40" i="3" l="1"/>
  <c r="T40" i="3" s="1"/>
  <c r="X41" i="3" s="1"/>
  <c r="S42" i="3"/>
  <c r="U42" i="3" s="1"/>
  <c r="R41" i="5"/>
  <c r="S41" i="5"/>
  <c r="W41" i="5" s="1"/>
  <c r="Q41" i="5"/>
  <c r="P40" i="5"/>
  <c r="Q40" i="5"/>
  <c r="L43" i="5"/>
  <c r="R43" i="5" s="1"/>
  <c r="R42" i="5"/>
  <c r="Q42" i="5"/>
  <c r="P42" i="5"/>
  <c r="S43" i="5"/>
  <c r="Q43" i="5"/>
  <c r="P43" i="5"/>
  <c r="V40" i="3" l="1"/>
  <c r="Z41" i="3" s="1"/>
  <c r="U40" i="3"/>
  <c r="Y41" i="3" s="1"/>
  <c r="W42" i="3"/>
  <c r="Y42" i="3" s="1"/>
  <c r="T42" i="3"/>
  <c r="X42" i="3" s="1"/>
  <c r="V42" i="3"/>
  <c r="V41" i="5"/>
  <c r="U41" i="5"/>
  <c r="T41" i="5"/>
  <c r="S40" i="5"/>
  <c r="V40" i="5" s="1"/>
  <c r="S42" i="5"/>
  <c r="T42" i="5" s="1"/>
  <c r="V43" i="5"/>
  <c r="T43" i="5"/>
  <c r="U43" i="5"/>
  <c r="W43" i="3" l="1"/>
  <c r="AA43" i="3" s="1"/>
  <c r="Z42" i="3"/>
  <c r="AA42" i="3" s="1"/>
  <c r="AE42" i="3" s="1"/>
  <c r="W40" i="3"/>
  <c r="Z40" i="3" s="1"/>
  <c r="Z41" i="5"/>
  <c r="Y41" i="5"/>
  <c r="U40" i="5"/>
  <c r="T40" i="5"/>
  <c r="X41" i="5" s="1"/>
  <c r="U42" i="5"/>
  <c r="V42" i="5"/>
  <c r="W42" i="5"/>
  <c r="X42" i="5" s="1"/>
  <c r="Y43" i="3"/>
  <c r="AA40" i="3" l="1"/>
  <c r="AE40" i="3" s="1"/>
  <c r="Y40" i="3"/>
  <c r="Z43" i="3"/>
  <c r="AD43" i="3" s="1"/>
  <c r="X40" i="3"/>
  <c r="AB40" i="3" s="1"/>
  <c r="X43" i="3"/>
  <c r="AB43" i="3" s="1"/>
  <c r="AA41" i="3"/>
  <c r="AD41" i="3" s="1"/>
  <c r="W40" i="5"/>
  <c r="Y40" i="5" s="1"/>
  <c r="Y42" i="5"/>
  <c r="W43" i="5"/>
  <c r="Z43" i="5" s="1"/>
  <c r="Z42" i="5"/>
  <c r="AB42" i="3"/>
  <c r="AD42" i="3"/>
  <c r="AC42" i="3"/>
  <c r="AC43" i="3"/>
  <c r="AC41" i="3"/>
  <c r="AB41" i="3" l="1"/>
  <c r="AE41" i="3" s="1"/>
  <c r="AD40" i="3"/>
  <c r="AH40" i="3" s="1"/>
  <c r="AC40" i="3"/>
  <c r="AG40" i="3" s="1"/>
  <c r="Z40" i="5"/>
  <c r="AA40" i="5"/>
  <c r="AC40" i="5" s="1"/>
  <c r="X40" i="5"/>
  <c r="AA42" i="5"/>
  <c r="AE42" i="5" s="1"/>
  <c r="AA41" i="5"/>
  <c r="AB41" i="5" s="1"/>
  <c r="Y43" i="5"/>
  <c r="AA43" i="5"/>
  <c r="X43" i="5"/>
  <c r="AG42" i="3"/>
  <c r="AH42" i="3"/>
  <c r="AF42" i="3"/>
  <c r="AI40" i="3"/>
  <c r="AF40" i="3"/>
  <c r="AE43" i="3" l="1"/>
  <c r="AH43" i="3" s="1"/>
  <c r="AB40" i="5"/>
  <c r="AD41" i="5"/>
  <c r="AD40" i="5"/>
  <c r="AC41" i="5"/>
  <c r="AE40" i="5"/>
  <c r="AC43" i="5"/>
  <c r="AD42" i="5"/>
  <c r="AH42" i="5" s="1"/>
  <c r="AB42" i="5"/>
  <c r="AF42" i="5" s="1"/>
  <c r="AC42" i="5"/>
  <c r="AG42" i="5" s="1"/>
  <c r="AB43" i="5"/>
  <c r="AD43" i="5"/>
  <c r="AG43" i="3"/>
  <c r="AH41" i="3"/>
  <c r="AI41" i="3"/>
  <c r="AF41" i="3"/>
  <c r="AG41" i="3"/>
  <c r="AJ40" i="3"/>
  <c r="AK40" i="3"/>
  <c r="AL40" i="3"/>
  <c r="F52" i="3"/>
  <c r="AF43" i="3" l="1"/>
  <c r="AF40" i="5"/>
  <c r="AG40" i="5"/>
  <c r="AH40" i="5"/>
  <c r="AI40" i="5"/>
  <c r="F52" i="5" s="1"/>
  <c r="AE43" i="5"/>
  <c r="AG43" i="5" s="1"/>
  <c r="AE41" i="5"/>
  <c r="AI41" i="5" s="1"/>
  <c r="AL41" i="3"/>
  <c r="AJ41" i="3"/>
  <c r="AK41" i="3"/>
  <c r="F53" i="3"/>
  <c r="F16" i="27"/>
  <c r="G52" i="3"/>
  <c r="K52" i="3"/>
  <c r="G17" i="1"/>
  <c r="H52" i="3"/>
  <c r="L52" i="3"/>
  <c r="I52" i="3"/>
  <c r="M52" i="3"/>
  <c r="J52" i="3"/>
  <c r="AI42" i="3"/>
  <c r="AI43" i="3"/>
  <c r="AL40" i="5" l="1"/>
  <c r="AK40" i="5"/>
  <c r="AJ40" i="5"/>
  <c r="AF43" i="5"/>
  <c r="AH43" i="5"/>
  <c r="AH41" i="5"/>
  <c r="AG41" i="5"/>
  <c r="AK41" i="5" s="1"/>
  <c r="AF41" i="5"/>
  <c r="AJ41" i="5" s="1"/>
  <c r="H52" i="5"/>
  <c r="I52" i="5"/>
  <c r="L52" i="5"/>
  <c r="K52" i="5"/>
  <c r="F18" i="27"/>
  <c r="O18" i="27" s="1"/>
  <c r="M52" i="5"/>
  <c r="G17" i="4"/>
  <c r="J52" i="5"/>
  <c r="G52" i="5"/>
  <c r="F53" i="5"/>
  <c r="AL41" i="5"/>
  <c r="I16" i="27"/>
  <c r="J17" i="1"/>
  <c r="K16" i="27"/>
  <c r="L17" i="1"/>
  <c r="F17" i="27"/>
  <c r="G53" i="3"/>
  <c r="K53" i="3"/>
  <c r="H53" i="3"/>
  <c r="L53" i="3"/>
  <c r="G18" i="1"/>
  <c r="I53" i="3"/>
  <c r="M53" i="3"/>
  <c r="J53" i="3"/>
  <c r="AK42" i="3"/>
  <c r="AL42" i="3"/>
  <c r="AJ42" i="3"/>
  <c r="F54" i="3"/>
  <c r="G16" i="27"/>
  <c r="H17" i="1"/>
  <c r="L16" i="27"/>
  <c r="N17" i="1"/>
  <c r="J16" i="27"/>
  <c r="K17" i="1"/>
  <c r="H16" i="27"/>
  <c r="I17" i="1"/>
  <c r="AJ43" i="3"/>
  <c r="AK43" i="3"/>
  <c r="AL43" i="3"/>
  <c r="F55" i="3"/>
  <c r="M16" i="27"/>
  <c r="O17" i="1"/>
  <c r="AI42" i="5" l="1"/>
  <c r="AL42" i="5" s="1"/>
  <c r="AI43" i="5"/>
  <c r="AK43" i="5" s="1"/>
  <c r="L53" i="5"/>
  <c r="K53" i="5"/>
  <c r="I53" i="5"/>
  <c r="F19" i="27"/>
  <c r="O19" i="27" s="1"/>
  <c r="S19" i="27" s="1"/>
  <c r="M53" i="5"/>
  <c r="G18" i="4"/>
  <c r="J53" i="5"/>
  <c r="G53" i="5"/>
  <c r="H53" i="5"/>
  <c r="M18" i="27"/>
  <c r="P18" i="27" s="1"/>
  <c r="O17" i="4"/>
  <c r="J17" i="4"/>
  <c r="I18" i="27"/>
  <c r="H17" i="4"/>
  <c r="G18" i="27"/>
  <c r="H18" i="27"/>
  <c r="I17" i="4"/>
  <c r="J18" i="27"/>
  <c r="K17" i="4"/>
  <c r="L17" i="4"/>
  <c r="K18" i="27"/>
  <c r="L18" i="27"/>
  <c r="N17" i="4"/>
  <c r="M17" i="1"/>
  <c r="M17" i="27"/>
  <c r="O17" i="27" s="1"/>
  <c r="O18" i="1"/>
  <c r="H17" i="27"/>
  <c r="I18" i="1"/>
  <c r="I17" i="27"/>
  <c r="J18" i="1"/>
  <c r="K17" i="27"/>
  <c r="L18" i="1"/>
  <c r="G17" i="27"/>
  <c r="H18" i="1"/>
  <c r="E13" i="21" s="1"/>
  <c r="N66" i="25" s="1"/>
  <c r="F21" i="27"/>
  <c r="G55" i="3"/>
  <c r="K55" i="3"/>
  <c r="H55" i="3"/>
  <c r="L55" i="3"/>
  <c r="I55" i="3"/>
  <c r="M55" i="3"/>
  <c r="J55" i="3"/>
  <c r="G20" i="1"/>
  <c r="F20" i="27"/>
  <c r="G54" i="3"/>
  <c r="K54" i="3"/>
  <c r="H54" i="3"/>
  <c r="L54" i="3"/>
  <c r="G19" i="1"/>
  <c r="I54" i="3"/>
  <c r="M54" i="3"/>
  <c r="J54" i="3"/>
  <c r="J17" i="27"/>
  <c r="K18" i="1"/>
  <c r="L17" i="27"/>
  <c r="N18" i="1"/>
  <c r="F55" i="5" l="1"/>
  <c r="H55" i="5" s="1"/>
  <c r="AJ43" i="5"/>
  <c r="AL43" i="5"/>
  <c r="F54" i="5"/>
  <c r="I54" i="5" s="1"/>
  <c r="AJ42" i="5"/>
  <c r="AK42" i="5"/>
  <c r="M17" i="4"/>
  <c r="J19" i="27"/>
  <c r="K18" i="4"/>
  <c r="I19" i="27"/>
  <c r="J18" i="4"/>
  <c r="L18" i="4"/>
  <c r="K19" i="27"/>
  <c r="H19" i="27"/>
  <c r="I18" i="4"/>
  <c r="M19" i="27"/>
  <c r="P19" i="27" s="1"/>
  <c r="O18" i="4"/>
  <c r="L19" i="27"/>
  <c r="N18" i="4"/>
  <c r="G19" i="27"/>
  <c r="H18" i="4"/>
  <c r="E9" i="21" s="1"/>
  <c r="M18" i="1"/>
  <c r="O16" i="27"/>
  <c r="P16" i="27" s="1"/>
  <c r="G20" i="27"/>
  <c r="H19" i="1"/>
  <c r="M21" i="27"/>
  <c r="O20" i="1"/>
  <c r="K21" i="27"/>
  <c r="L20" i="1"/>
  <c r="J20" i="27"/>
  <c r="K19" i="1"/>
  <c r="L20" i="27"/>
  <c r="N19" i="1"/>
  <c r="I21" i="27"/>
  <c r="J20" i="1"/>
  <c r="G21" i="27"/>
  <c r="H20" i="1"/>
  <c r="M20" i="27"/>
  <c r="O19" i="1"/>
  <c r="H20" i="27"/>
  <c r="I19" i="1"/>
  <c r="L21" i="27"/>
  <c r="N20" i="1"/>
  <c r="I20" i="27"/>
  <c r="J19" i="1"/>
  <c r="K20" i="27"/>
  <c r="L19" i="1"/>
  <c r="J21" i="27"/>
  <c r="K20" i="1"/>
  <c r="H21" i="27"/>
  <c r="I20" i="1"/>
  <c r="E7" i="21"/>
  <c r="P17" i="27"/>
  <c r="S17" i="27"/>
  <c r="F23" i="27" l="1"/>
  <c r="O23" i="27" s="1"/>
  <c r="S23" i="27" s="1"/>
  <c r="K55" i="5"/>
  <c r="L20" i="4" s="1"/>
  <c r="J55" i="5"/>
  <c r="J23" i="27" s="1"/>
  <c r="I55" i="5"/>
  <c r="J20" i="4" s="1"/>
  <c r="L55" i="5"/>
  <c r="N20" i="4" s="1"/>
  <c r="G55" i="5"/>
  <c r="H20" i="4" s="1"/>
  <c r="G20" i="4"/>
  <c r="M55" i="5"/>
  <c r="O20" i="4" s="1"/>
  <c r="L54" i="5"/>
  <c r="L22" i="27" s="1"/>
  <c r="F22" i="27"/>
  <c r="O22" i="27" s="1"/>
  <c r="J54" i="5"/>
  <c r="J22" i="27" s="1"/>
  <c r="G19" i="4"/>
  <c r="M54" i="5"/>
  <c r="M22" i="27" s="1"/>
  <c r="H54" i="5"/>
  <c r="I19" i="4" s="1"/>
  <c r="K54" i="5"/>
  <c r="L19" i="4" s="1"/>
  <c r="G54" i="5"/>
  <c r="H19" i="4" s="1"/>
  <c r="L23" i="27"/>
  <c r="M18" i="4"/>
  <c r="H23" i="27"/>
  <c r="I20" i="4"/>
  <c r="E11" i="21"/>
  <c r="J19" i="4"/>
  <c r="I22" i="27"/>
  <c r="J8" i="21"/>
  <c r="E15" i="22" s="1"/>
  <c r="W53" i="25" s="1"/>
  <c r="N48" i="25"/>
  <c r="K23" i="27"/>
  <c r="N46" i="25"/>
  <c r="M20" i="1"/>
  <c r="T19" i="27"/>
  <c r="M19" i="1"/>
  <c r="O20" i="27"/>
  <c r="P20" i="27" s="1"/>
  <c r="W17" i="27"/>
  <c r="T17" i="27"/>
  <c r="O21" i="27"/>
  <c r="S16" i="27"/>
  <c r="T16" i="27" s="1"/>
  <c r="S18" i="27"/>
  <c r="N19" i="4" l="1"/>
  <c r="G23" i="27"/>
  <c r="M23" i="27"/>
  <c r="K20" i="4"/>
  <c r="M20" i="4" s="1"/>
  <c r="I23" i="27"/>
  <c r="G22" i="27"/>
  <c r="K19" i="4"/>
  <c r="M19" i="4" s="1"/>
  <c r="P22" i="27"/>
  <c r="S22" i="27" s="1"/>
  <c r="W22" i="27" s="1"/>
  <c r="H22" i="27"/>
  <c r="K22" i="27"/>
  <c r="O19" i="4"/>
  <c r="P23" i="27"/>
  <c r="J12" i="21"/>
  <c r="N64" i="25"/>
  <c r="E8" i="22"/>
  <c r="W59" i="25" s="1"/>
  <c r="W16" i="27"/>
  <c r="AA16" i="27" s="1"/>
  <c r="W18" i="27"/>
  <c r="T18" i="27"/>
  <c r="P21" i="27"/>
  <c r="S21" i="27"/>
  <c r="X17" i="27"/>
  <c r="W19" i="27"/>
  <c r="S20" i="27" l="1"/>
  <c r="T20" i="27" s="1"/>
  <c r="T23" i="27"/>
  <c r="T22" i="27"/>
  <c r="X16" i="27"/>
  <c r="AB16" i="27" s="1"/>
  <c r="J9" i="22"/>
  <c r="E17" i="22"/>
  <c r="E10" i="22"/>
  <c r="W61" i="25" s="1"/>
  <c r="X19" i="27"/>
  <c r="AA19" i="27"/>
  <c r="W21" i="27"/>
  <c r="T21" i="27"/>
  <c r="X18" i="27"/>
  <c r="AA18" i="27" s="1"/>
  <c r="AE16" i="27"/>
  <c r="X22" i="27" l="1"/>
  <c r="W23" i="27"/>
  <c r="AA23" i="27" s="1"/>
  <c r="W20" i="27"/>
  <c r="AA20" i="27" s="1"/>
  <c r="J16" i="22"/>
  <c r="O13" i="22" s="1"/>
  <c r="W54" i="25"/>
  <c r="AB19" i="27"/>
  <c r="X21" i="27"/>
  <c r="AF16" i="27"/>
  <c r="AI16" i="27"/>
  <c r="AE18" i="27"/>
  <c r="AB18" i="27"/>
  <c r="AA17" i="27"/>
  <c r="AB17" i="27" s="1"/>
  <c r="AA21" i="27" l="1"/>
  <c r="AB21" i="27" s="1"/>
  <c r="X23" i="27"/>
  <c r="AB23" i="27" s="1"/>
  <c r="X20" i="27"/>
  <c r="AB20" i="27" s="1"/>
  <c r="AC53" i="25"/>
  <c r="M21" i="22"/>
  <c r="AE17" i="27"/>
  <c r="AF17" i="27" s="1"/>
  <c r="AF18" i="27"/>
  <c r="AE19" i="27"/>
  <c r="AF19" i="27" s="1"/>
  <c r="F28" i="27"/>
  <c r="K28" i="27"/>
  <c r="AJ16" i="27"/>
  <c r="J28" i="27" s="1"/>
  <c r="L28" i="27"/>
  <c r="AA22" i="27"/>
  <c r="AE20" i="27"/>
  <c r="AE21" i="27" l="1"/>
  <c r="AF21" i="27" s="1"/>
  <c r="AE23" i="27"/>
  <c r="AI17" i="27"/>
  <c r="L29" i="27" s="1"/>
  <c r="AI19" i="27"/>
  <c r="L31" i="27" s="1"/>
  <c r="AF20" i="27"/>
  <c r="AI20" i="27"/>
  <c r="M28" i="27"/>
  <c r="AE22" i="27"/>
  <c r="AB22" i="27"/>
  <c r="AI18" i="27"/>
  <c r="AI21" i="27" l="1"/>
  <c r="K33" i="27" s="1"/>
  <c r="AF23" i="27"/>
  <c r="K29" i="27"/>
  <c r="M29" i="27" s="1"/>
  <c r="K31" i="27"/>
  <c r="M31" i="27" s="1"/>
  <c r="AJ17" i="27"/>
  <c r="J29" i="27" s="1"/>
  <c r="F29" i="27"/>
  <c r="F31" i="27"/>
  <c r="O31" i="27" s="1"/>
  <c r="S31" i="27" s="1"/>
  <c r="AJ21" i="27"/>
  <c r="J33" i="27" s="1"/>
  <c r="AJ19" i="27"/>
  <c r="J31" i="27" s="1"/>
  <c r="F33" i="27"/>
  <c r="L33" i="27"/>
  <c r="M33" i="27" s="1"/>
  <c r="AF22" i="27"/>
  <c r="AI22" i="27" s="1"/>
  <c r="L34" i="27" s="1"/>
  <c r="F32" i="27"/>
  <c r="K32" i="27"/>
  <c r="AJ20" i="27"/>
  <c r="J32" i="27" s="1"/>
  <c r="L32" i="27"/>
  <c r="K30" i="27"/>
  <c r="L30" i="27"/>
  <c r="F30" i="27"/>
  <c r="O30" i="27" s="1"/>
  <c r="AJ18" i="27"/>
  <c r="J30" i="27" s="1"/>
  <c r="O29" i="27" l="1"/>
  <c r="Q29" i="27" s="1"/>
  <c r="O28" i="27"/>
  <c r="Q28" i="27" s="1"/>
  <c r="F34" i="27"/>
  <c r="O34" i="27" s="1"/>
  <c r="K34" i="27"/>
  <c r="M34" i="27" s="1"/>
  <c r="AJ22" i="27"/>
  <c r="J34" i="27" s="1"/>
  <c r="AI23" i="27"/>
  <c r="L35" i="27" s="1"/>
  <c r="P30" i="27"/>
  <c r="M32" i="27"/>
  <c r="O33" i="27" s="1"/>
  <c r="Q31" i="27"/>
  <c r="P31" i="27"/>
  <c r="M30" i="27"/>
  <c r="Q30" i="27" s="1"/>
  <c r="P29" i="27" l="1"/>
  <c r="S29" i="27"/>
  <c r="P28" i="27"/>
  <c r="S28" i="27" s="1"/>
  <c r="O32" i="27"/>
  <c r="P32" i="27" s="1"/>
  <c r="U31" i="27"/>
  <c r="U29" i="27"/>
  <c r="K35" i="27"/>
  <c r="M35" i="27" s="1"/>
  <c r="AJ23" i="27"/>
  <c r="J35" i="27" s="1"/>
  <c r="P34" i="27"/>
  <c r="W29" i="27"/>
  <c r="Q34" i="27"/>
  <c r="F35" i="27"/>
  <c r="O35" i="27" s="1"/>
  <c r="P33" i="27"/>
  <c r="Q33" i="27"/>
  <c r="S33" i="27"/>
  <c r="T31" i="27" l="1"/>
  <c r="S30" i="27"/>
  <c r="T30" i="27" s="1"/>
  <c r="T29" i="27"/>
  <c r="Q32" i="27"/>
  <c r="S34" i="27" s="1"/>
  <c r="Q35" i="27"/>
  <c r="P35" i="27"/>
  <c r="S35" i="27"/>
  <c r="T28" i="27"/>
  <c r="U28" i="27"/>
  <c r="Y29" i="27" s="1"/>
  <c r="T33" i="27"/>
  <c r="U33" i="27"/>
  <c r="W33" i="27"/>
  <c r="U30" i="27" l="1"/>
  <c r="W30" i="27"/>
  <c r="X29" i="27"/>
  <c r="S32" i="27"/>
  <c r="T32" i="27" s="1"/>
  <c r="U35" i="27"/>
  <c r="T35" i="27"/>
  <c r="U34" i="27"/>
  <c r="W34" i="27"/>
  <c r="T34" i="27"/>
  <c r="X30" i="27"/>
  <c r="W31" i="27"/>
  <c r="W28" i="27"/>
  <c r="Y30" i="27" l="1"/>
  <c r="AA30" i="27" s="1"/>
  <c r="X33" i="27"/>
  <c r="U32" i="27"/>
  <c r="X28" i="27"/>
  <c r="Y28" i="27"/>
  <c r="AA28" i="27"/>
  <c r="X31" i="27"/>
  <c r="Y31" i="27"/>
  <c r="AA31" i="27"/>
  <c r="X34" i="27"/>
  <c r="Y34" i="27"/>
  <c r="AA29" i="27" l="1"/>
  <c r="AC29" i="27" s="1"/>
  <c r="W35" i="27"/>
  <c r="AA35" i="27" s="1"/>
  <c r="Y33" i="27"/>
  <c r="AA34" i="27" s="1"/>
  <c r="AE34" i="27" s="1"/>
  <c r="AB30" i="27"/>
  <c r="W32" i="27"/>
  <c r="AA32" i="27" s="1"/>
  <c r="AE30" i="27"/>
  <c r="AC30" i="27"/>
  <c r="AC28" i="27"/>
  <c r="AE28" i="27"/>
  <c r="AB28" i="27"/>
  <c r="AB31" i="27"/>
  <c r="AC31" i="27"/>
  <c r="AB29" i="27" l="1"/>
  <c r="AE29" i="27" s="1"/>
  <c r="Y35" i="27"/>
  <c r="AC35" i="27" s="1"/>
  <c r="AA33" i="27"/>
  <c r="AC33" i="27" s="1"/>
  <c r="X35" i="27"/>
  <c r="AB35" i="27" s="1"/>
  <c r="X32" i="27"/>
  <c r="AB32" i="27" s="1"/>
  <c r="Y32" i="27"/>
  <c r="AC34" i="27" s="1"/>
  <c r="AF30" i="27"/>
  <c r="AG30" i="27"/>
  <c r="AB34" i="27"/>
  <c r="AI28" i="27"/>
  <c r="AF28" i="27"/>
  <c r="AG28" i="27"/>
  <c r="AE32" i="27"/>
  <c r="AE31" i="27" l="1"/>
  <c r="AF31" i="27" s="1"/>
  <c r="AB33" i="27"/>
  <c r="AE35" i="27" s="1"/>
  <c r="AC32" i="27"/>
  <c r="AG34" i="27" s="1"/>
  <c r="AF34" i="27"/>
  <c r="AG31" i="27"/>
  <c r="AF29" i="27"/>
  <c r="AG29" i="27"/>
  <c r="AI29" i="27"/>
  <c r="AI32" i="27"/>
  <c r="AF32" i="27"/>
  <c r="AJ28" i="27"/>
  <c r="J40" i="27" s="1"/>
  <c r="AK28" i="27"/>
  <c r="K40" i="27" s="1"/>
  <c r="M40" i="27" s="1"/>
  <c r="F40" i="27"/>
  <c r="L40" i="27" s="1"/>
  <c r="AE33" i="27" l="1"/>
  <c r="AI33" i="27" s="1"/>
  <c r="AG32" i="27"/>
  <c r="AK32" i="27" s="1"/>
  <c r="K44" i="27" s="1"/>
  <c r="M44" i="27" s="1"/>
  <c r="AJ32" i="27"/>
  <c r="J44" i="27" s="1"/>
  <c r="F44" i="27"/>
  <c r="L44" i="27" s="1"/>
  <c r="AF35" i="27"/>
  <c r="AG35" i="27"/>
  <c r="AI30" i="27"/>
  <c r="AI31" i="27"/>
  <c r="AJ29" i="27"/>
  <c r="J41" i="27" s="1"/>
  <c r="AK29" i="27"/>
  <c r="K41" i="27" s="1"/>
  <c r="M41" i="27" s="1"/>
  <c r="F41" i="27"/>
  <c r="L41" i="27" s="1"/>
  <c r="AG33" i="27"/>
  <c r="AF33" i="27" l="1"/>
  <c r="AJ33" i="27" s="1"/>
  <c r="J45" i="27" s="1"/>
  <c r="O40" i="27"/>
  <c r="P40" i="27" s="1"/>
  <c r="AK33" i="27"/>
  <c r="K45" i="27" s="1"/>
  <c r="M45" i="27" s="1"/>
  <c r="F45" i="27"/>
  <c r="L45" i="27" s="1"/>
  <c r="O41" i="27"/>
  <c r="AI34" i="27"/>
  <c r="AI35" i="27"/>
  <c r="AJ31" i="27"/>
  <c r="J43" i="27" s="1"/>
  <c r="AK31" i="27"/>
  <c r="K43" i="27" s="1"/>
  <c r="M43" i="27" s="1"/>
  <c r="F43" i="27"/>
  <c r="AK30" i="27"/>
  <c r="K42" i="27" s="1"/>
  <c r="M42" i="27" s="1"/>
  <c r="AJ30" i="27"/>
  <c r="J42" i="27" s="1"/>
  <c r="F42" i="27"/>
  <c r="Q40" i="27" l="1"/>
  <c r="R40" i="27"/>
  <c r="O44" i="27"/>
  <c r="R44" i="27" s="1"/>
  <c r="O45" i="27"/>
  <c r="L43" i="27"/>
  <c r="O43" i="27"/>
  <c r="AK34" i="27"/>
  <c r="K46" i="27" s="1"/>
  <c r="M46" i="27" s="1"/>
  <c r="AJ34" i="27"/>
  <c r="J46" i="27" s="1"/>
  <c r="F46" i="27"/>
  <c r="S41" i="27"/>
  <c r="P41" i="27"/>
  <c r="Q41" i="27"/>
  <c r="R41" i="27"/>
  <c r="O42" i="27"/>
  <c r="L42" i="27"/>
  <c r="AJ35" i="27"/>
  <c r="J47" i="27" s="1"/>
  <c r="AK35" i="27"/>
  <c r="K47" i="27" s="1"/>
  <c r="M47" i="27" s="1"/>
  <c r="F47" i="27"/>
  <c r="Q44" i="27" l="1"/>
  <c r="P44" i="27"/>
  <c r="S45" i="27"/>
  <c r="P45" i="27"/>
  <c r="Q45" i="27"/>
  <c r="R45" i="27"/>
  <c r="L47" i="27"/>
  <c r="O47" i="27"/>
  <c r="R42" i="27"/>
  <c r="P42" i="27"/>
  <c r="Q42" i="27"/>
  <c r="W41" i="27"/>
  <c r="T41" i="27"/>
  <c r="U41" i="27"/>
  <c r="V41" i="27"/>
  <c r="Q43" i="27"/>
  <c r="R43" i="27"/>
  <c r="S43" i="27"/>
  <c r="P43" i="27"/>
  <c r="O46" i="27"/>
  <c r="L46" i="27"/>
  <c r="U43" i="27" l="1"/>
  <c r="V43" i="27"/>
  <c r="T43" i="27"/>
  <c r="S42" i="27"/>
  <c r="S40" i="27"/>
  <c r="R46" i="27"/>
  <c r="P46" i="27"/>
  <c r="Q46" i="27"/>
  <c r="Q47" i="27"/>
  <c r="R47" i="27"/>
  <c r="S47" i="27"/>
  <c r="P47" i="27"/>
  <c r="W45" i="27"/>
  <c r="T45" i="27"/>
  <c r="U45" i="27"/>
  <c r="V45" i="27"/>
  <c r="V42" i="27" l="1"/>
  <c r="W42" i="27"/>
  <c r="T42" i="27"/>
  <c r="U42" i="27"/>
  <c r="S44" i="27"/>
  <c r="S46" i="27"/>
  <c r="U47" i="27"/>
  <c r="V47" i="27"/>
  <c r="T47" i="27"/>
  <c r="T40" i="27"/>
  <c r="X41" i="27" s="1"/>
  <c r="U40" i="27"/>
  <c r="Y41" i="27" s="1"/>
  <c r="V40" i="27"/>
  <c r="Z41" i="27" s="1"/>
  <c r="W43" i="27" l="1"/>
  <c r="W40" i="27"/>
  <c r="V46" i="27"/>
  <c r="W46" i="27"/>
  <c r="T46" i="27"/>
  <c r="U46" i="27"/>
  <c r="Z42" i="27"/>
  <c r="X42" i="27"/>
  <c r="Y42" i="27"/>
  <c r="T44" i="27"/>
  <c r="X45" i="27" s="1"/>
  <c r="U44" i="27"/>
  <c r="Y45" i="27" s="1"/>
  <c r="V44" i="27"/>
  <c r="Z45" i="27" s="1"/>
  <c r="W47" i="27" l="1"/>
  <c r="W44" i="27"/>
  <c r="X40" i="27"/>
  <c r="Y40" i="27"/>
  <c r="Z40" i="27"/>
  <c r="AA40" i="27"/>
  <c r="Y43" i="27"/>
  <c r="Z43" i="27"/>
  <c r="AA43" i="27"/>
  <c r="X43" i="27"/>
  <c r="AA41" i="27"/>
  <c r="AA42" i="27"/>
  <c r="Z46" i="27"/>
  <c r="X46" i="27"/>
  <c r="Y46" i="27"/>
  <c r="AD42" i="27" l="1"/>
  <c r="AE42" i="27"/>
  <c r="AB42" i="27"/>
  <c r="AC42" i="27"/>
  <c r="AB41" i="27"/>
  <c r="AC41" i="27"/>
  <c r="AD41" i="27"/>
  <c r="AB40" i="27"/>
  <c r="AC40" i="27"/>
  <c r="AD40" i="27"/>
  <c r="AE40" i="27"/>
  <c r="X44" i="27"/>
  <c r="Y44" i="27"/>
  <c r="Z44" i="27"/>
  <c r="AA44" i="27"/>
  <c r="AA45" i="27"/>
  <c r="AA46" i="27"/>
  <c r="AC43" i="27"/>
  <c r="AD43" i="27"/>
  <c r="AB43" i="27"/>
  <c r="Y47" i="27"/>
  <c r="Z47" i="27"/>
  <c r="AA47" i="27"/>
  <c r="X47" i="27"/>
  <c r="AB45" i="27" l="1"/>
  <c r="AC45" i="27"/>
  <c r="AD45" i="27"/>
  <c r="AC47" i="27"/>
  <c r="AD47" i="27"/>
  <c r="AB47" i="27"/>
  <c r="AB44" i="27"/>
  <c r="AC44" i="27"/>
  <c r="AD44" i="27"/>
  <c r="AE44" i="27"/>
  <c r="AF40" i="27"/>
  <c r="AG40" i="27"/>
  <c r="AH40" i="27"/>
  <c r="AI40" i="27"/>
  <c r="AH42" i="27"/>
  <c r="AF42" i="27"/>
  <c r="AG42" i="27"/>
  <c r="AD46" i="27"/>
  <c r="AE46" i="27"/>
  <c r="AB46" i="27"/>
  <c r="AC46" i="27"/>
  <c r="AE41" i="27"/>
  <c r="AE43" i="27"/>
  <c r="AH46" i="27" l="1"/>
  <c r="AF46" i="27"/>
  <c r="AG46" i="27"/>
  <c r="AG43" i="27"/>
  <c r="AH43" i="27"/>
  <c r="AF43" i="27"/>
  <c r="AI41" i="27"/>
  <c r="AF41" i="27"/>
  <c r="AG41" i="27"/>
  <c r="AH41" i="27"/>
  <c r="AJ40" i="27"/>
  <c r="AK40" i="27"/>
  <c r="AL40" i="27"/>
  <c r="F52" i="27"/>
  <c r="AF44" i="27"/>
  <c r="AG44" i="27"/>
  <c r="AH44" i="27"/>
  <c r="AI44" i="27"/>
  <c r="AE45" i="27"/>
  <c r="AE47" i="27"/>
  <c r="AI42" i="27" l="1"/>
  <c r="AL42" i="27" s="1"/>
  <c r="AJ44" i="27"/>
  <c r="AK44" i="27"/>
  <c r="AL44" i="27"/>
  <c r="F56" i="27"/>
  <c r="H52" i="27"/>
  <c r="O10" i="21" s="1"/>
  <c r="L52" i="27"/>
  <c r="T10" i="21" s="1"/>
  <c r="I52" i="27"/>
  <c r="P10" i="21" s="1"/>
  <c r="M52" i="27"/>
  <c r="U10" i="21" s="1"/>
  <c r="J52" i="27"/>
  <c r="Q10" i="21" s="1"/>
  <c r="G52" i="27"/>
  <c r="N10" i="21" s="1"/>
  <c r="K52" i="27"/>
  <c r="R10" i="21" s="1"/>
  <c r="M10" i="21"/>
  <c r="AG47" i="27"/>
  <c r="AH47" i="27"/>
  <c r="AF47" i="27"/>
  <c r="AI43" i="27"/>
  <c r="AI45" i="27"/>
  <c r="AF45" i="27"/>
  <c r="AG45" i="27"/>
  <c r="AH45" i="27"/>
  <c r="AJ41" i="27"/>
  <c r="AK41" i="27"/>
  <c r="F53" i="27"/>
  <c r="AL41" i="27"/>
  <c r="AK42" i="27" l="1"/>
  <c r="F54" i="27"/>
  <c r="L54" i="27" s="1"/>
  <c r="T12" i="21" s="1"/>
  <c r="AJ42" i="27"/>
  <c r="AI46" i="27"/>
  <c r="AL46" i="27" s="1"/>
  <c r="S10" i="21"/>
  <c r="H53" i="27"/>
  <c r="O11" i="21" s="1"/>
  <c r="L53" i="27"/>
  <c r="T11" i="21" s="1"/>
  <c r="I53" i="27"/>
  <c r="P11" i="21" s="1"/>
  <c r="M53" i="27"/>
  <c r="U11" i="21" s="1"/>
  <c r="J53" i="27"/>
  <c r="Q11" i="21" s="1"/>
  <c r="G53" i="27"/>
  <c r="N11" i="21" s="1"/>
  <c r="K53" i="27"/>
  <c r="R11" i="21" s="1"/>
  <c r="M11" i="21"/>
  <c r="H56" i="27"/>
  <c r="O14" i="21" s="1"/>
  <c r="L56" i="27"/>
  <c r="T14" i="21" s="1"/>
  <c r="I56" i="27"/>
  <c r="P14" i="21" s="1"/>
  <c r="M56" i="27"/>
  <c r="U14" i="21" s="1"/>
  <c r="J56" i="27"/>
  <c r="Q14" i="21" s="1"/>
  <c r="G56" i="27"/>
  <c r="N14" i="21" s="1"/>
  <c r="K56" i="27"/>
  <c r="R14" i="21" s="1"/>
  <c r="M14" i="21"/>
  <c r="AJ45" i="27"/>
  <c r="AK45" i="27"/>
  <c r="F57" i="27"/>
  <c r="AL45" i="27"/>
  <c r="H54" i="27"/>
  <c r="O12" i="21" s="1"/>
  <c r="AK43" i="27"/>
  <c r="AL43" i="27"/>
  <c r="F55" i="27"/>
  <c r="AJ43" i="27"/>
  <c r="AI47" i="27"/>
  <c r="J54" i="27" l="1"/>
  <c r="Q12" i="21" s="1"/>
  <c r="K54" i="27"/>
  <c r="R12" i="21" s="1"/>
  <c r="I54" i="27"/>
  <c r="P12" i="21" s="1"/>
  <c r="M12" i="21"/>
  <c r="M54" i="27"/>
  <c r="U12" i="21" s="1"/>
  <c r="G54" i="27"/>
  <c r="N12" i="21" s="1"/>
  <c r="AK46" i="27"/>
  <c r="F58" i="27"/>
  <c r="L58" i="27" s="1"/>
  <c r="T16" i="21" s="1"/>
  <c r="AJ46" i="27"/>
  <c r="S14" i="21"/>
  <c r="S11" i="21"/>
  <c r="AK47" i="27"/>
  <c r="AL47" i="27"/>
  <c r="F59" i="27"/>
  <c r="AJ47" i="27"/>
  <c r="H55" i="27"/>
  <c r="O13" i="21" s="1"/>
  <c r="L55" i="27"/>
  <c r="T13" i="21" s="1"/>
  <c r="I55" i="27"/>
  <c r="P13" i="21" s="1"/>
  <c r="M55" i="27"/>
  <c r="U13" i="21" s="1"/>
  <c r="J55" i="27"/>
  <c r="Q13" i="21" s="1"/>
  <c r="G55" i="27"/>
  <c r="N13" i="21" s="1"/>
  <c r="K55" i="27"/>
  <c r="R13" i="21" s="1"/>
  <c r="M13" i="21"/>
  <c r="H57" i="27"/>
  <c r="O15" i="21" s="1"/>
  <c r="L57" i="27"/>
  <c r="T15" i="21" s="1"/>
  <c r="I57" i="27"/>
  <c r="P15" i="21" s="1"/>
  <c r="M57" i="27"/>
  <c r="U15" i="21" s="1"/>
  <c r="J57" i="27"/>
  <c r="Q15" i="21" s="1"/>
  <c r="G57" i="27"/>
  <c r="N15" i="21" s="1"/>
  <c r="K57" i="27"/>
  <c r="R15" i="21" s="1"/>
  <c r="M15" i="21"/>
  <c r="S12" i="21" l="1"/>
  <c r="M58" i="27"/>
  <c r="U16" i="21" s="1"/>
  <c r="M16" i="21"/>
  <c r="J58" i="27"/>
  <c r="Q16" i="21" s="1"/>
  <c r="H58" i="27"/>
  <c r="O16" i="21" s="1"/>
  <c r="I58" i="27"/>
  <c r="P16" i="21" s="1"/>
  <c r="K58" i="27"/>
  <c r="R16" i="21" s="1"/>
  <c r="G58" i="27"/>
  <c r="N16" i="21" s="1"/>
  <c r="S15" i="21"/>
  <c r="S13" i="21"/>
  <c r="H59" i="27"/>
  <c r="O17" i="21" s="1"/>
  <c r="L59" i="27"/>
  <c r="T17" i="21" s="1"/>
  <c r="I59" i="27"/>
  <c r="P17" i="21" s="1"/>
  <c r="M59" i="27"/>
  <c r="U17" i="21" s="1"/>
  <c r="J59" i="27"/>
  <c r="Q17" i="21" s="1"/>
  <c r="G59" i="27"/>
  <c r="N17" i="21" s="1"/>
  <c r="K59" i="27"/>
  <c r="R17" i="21" s="1"/>
  <c r="M17" i="21"/>
  <c r="S16" i="21" l="1"/>
  <c r="S17" i="21"/>
</calcChain>
</file>

<file path=xl/comments1.xml><?xml version="1.0" encoding="utf-8"?>
<comments xmlns="http://schemas.openxmlformats.org/spreadsheetml/2006/main">
  <authors>
    <author>JESUS</author>
  </authors>
  <commentList>
    <comment ref="N8" authorId="0">
      <text>
        <r>
          <rPr>
            <sz val="9"/>
            <color indexed="81"/>
            <rFont val="Tahoma"/>
            <family val="2"/>
          </rPr>
          <t>Se aprovecho la pista que sacó Sergio contra José Castro</t>
        </r>
      </text>
    </comment>
  </commentList>
</comments>
</file>

<file path=xl/sharedStrings.xml><?xml version="1.0" encoding="utf-8"?>
<sst xmlns="http://schemas.openxmlformats.org/spreadsheetml/2006/main" count="539" uniqueCount="177">
  <si>
    <t>Final</t>
  </si>
  <si>
    <r>
      <t xml:space="preserve">Grupo </t>
    </r>
    <r>
      <rPr>
        <b/>
        <sz val="10"/>
        <color indexed="8"/>
        <rFont val="Arial"/>
        <family val="2"/>
      </rPr>
      <t>A</t>
    </r>
  </si>
  <si>
    <r>
      <t xml:space="preserve">Grupo </t>
    </r>
    <r>
      <rPr>
        <b/>
        <sz val="10"/>
        <color indexed="8"/>
        <rFont val="Arial"/>
        <family val="2"/>
      </rPr>
      <t>B</t>
    </r>
  </si>
  <si>
    <t>PROGRAMA DE PARTIDOS</t>
  </si>
  <si>
    <t>-</t>
  </si>
  <si>
    <t>p</t>
  </si>
  <si>
    <t>pts</t>
  </si>
  <si>
    <t>sort 1-2=====</t>
  </si>
  <si>
    <t>sort 1-3=====</t>
  </si>
  <si>
    <t>sort 1-4=====</t>
  </si>
  <si>
    <t>sort 2-3=====</t>
  </si>
  <si>
    <t>sort 2-4=====</t>
  </si>
  <si>
    <t>sort 3-4=====</t>
  </si>
  <si>
    <t>día</t>
  </si>
  <si>
    <t>POSICIONES</t>
  </si>
  <si>
    <t>J</t>
  </si>
  <si>
    <t>G</t>
  </si>
  <si>
    <t>P</t>
  </si>
  <si>
    <t>PTS</t>
  </si>
  <si>
    <t>fecha y hora actual:</t>
  </si>
  <si>
    <t>tabla preliminar</t>
  </si>
  <si>
    <t>tabla definitiva</t>
  </si>
  <si>
    <t>resultados</t>
  </si>
  <si>
    <t>resultado</t>
  </si>
  <si>
    <t>final</t>
  </si>
  <si>
    <t>3er puesto</t>
  </si>
  <si>
    <t>F I N A L</t>
  </si>
  <si>
    <t>Grupo A</t>
  </si>
  <si>
    <t>Grupo B</t>
  </si>
  <si>
    <t>FINAL</t>
  </si>
  <si>
    <t>SemiFinal</t>
  </si>
  <si>
    <t>Menu Principal</t>
  </si>
  <si>
    <t>hora</t>
  </si>
  <si>
    <t>CAMPEON</t>
  </si>
  <si>
    <t>en blanco</t>
  </si>
  <si>
    <t>3ª Posición</t>
  </si>
  <si>
    <t>CAMPEÓN</t>
  </si>
  <si>
    <t>LINARES</t>
  </si>
  <si>
    <r>
      <t>avanza a semifinal</t>
    </r>
    <r>
      <rPr>
        <sz val="8"/>
        <color indexed="60"/>
        <rFont val="Arial Narrow"/>
        <family val="2"/>
      </rPr>
      <t xml:space="preserve"> </t>
    </r>
    <r>
      <rPr>
        <b/>
        <sz val="8"/>
        <color indexed="60"/>
        <rFont val="Wingdings"/>
        <charset val="2"/>
      </rPr>
      <t>Ø</t>
    </r>
  </si>
  <si>
    <t>6/4</t>
  </si>
  <si>
    <t>Resultado</t>
  </si>
  <si>
    <t>Poner</t>
  </si>
  <si>
    <t>0/6</t>
  </si>
  <si>
    <t>1/6</t>
  </si>
  <si>
    <t>2/6</t>
  </si>
  <si>
    <t>3/6</t>
  </si>
  <si>
    <t>4/6</t>
  </si>
  <si>
    <t>5/7</t>
  </si>
  <si>
    <t>6/7</t>
  </si>
  <si>
    <t>6/0</t>
  </si>
  <si>
    <t>6/1</t>
  </si>
  <si>
    <t>6/2</t>
  </si>
  <si>
    <t>6/3</t>
  </si>
  <si>
    <t>7/5</t>
  </si>
  <si>
    <t>7/6</t>
  </si>
  <si>
    <t>1st</t>
  </si>
  <si>
    <t>3st</t>
  </si>
  <si>
    <t>2st</t>
  </si>
  <si>
    <t>j</t>
  </si>
  <si>
    <t>g</t>
  </si>
  <si>
    <t>SF</t>
  </si>
  <si>
    <t>SC</t>
  </si>
  <si>
    <t>sf</t>
  </si>
  <si>
    <t>sc</t>
  </si>
  <si>
    <t>DIFJ</t>
  </si>
  <si>
    <t>DIFS</t>
  </si>
  <si>
    <t>difj</t>
  </si>
  <si>
    <t>GRUPO B</t>
  </si>
  <si>
    <t>set</t>
  </si>
  <si>
    <t xml:space="preserve">   sede                     fecha / hora</t>
  </si>
  <si>
    <t>Jugadores Clasificados</t>
  </si>
  <si>
    <t>Suplentes</t>
  </si>
  <si>
    <t>Reservas</t>
  </si>
  <si>
    <t>difs</t>
  </si>
  <si>
    <t>sede   /                fecha   /   hora</t>
  </si>
  <si>
    <t>Resumen e Historial (para imprimir)</t>
  </si>
  <si>
    <t>MASTER</t>
  </si>
  <si>
    <t>RANKING</t>
  </si>
  <si>
    <t>jugadores</t>
  </si>
  <si>
    <t xml:space="preserve">       sede         -pista</t>
  </si>
  <si>
    <t>Est. Pista</t>
  </si>
  <si>
    <t>Partidos arbitrados</t>
  </si>
  <si>
    <t xml:space="preserve"> </t>
  </si>
  <si>
    <t>observaciones</t>
  </si>
  <si>
    <t>Tie Break:</t>
  </si>
  <si>
    <t>CUADRO DE HONOR - COPA MASTER</t>
  </si>
  <si>
    <t>Año</t>
  </si>
  <si>
    <t>Campeón</t>
  </si>
  <si>
    <t>Subcampeón</t>
  </si>
  <si>
    <t>Resultado en la final</t>
  </si>
  <si>
    <t xml:space="preserve">         A. Expósito Vilches</t>
  </si>
  <si>
    <t xml:space="preserve">         Antonio Expósito C.</t>
  </si>
  <si>
    <t>6-3, 6-4</t>
  </si>
  <si>
    <t>6-2, 7-6</t>
  </si>
  <si>
    <t xml:space="preserve">         Fco. Javier Moral</t>
  </si>
  <si>
    <t>6-4, 7-6</t>
  </si>
  <si>
    <t>6-3, 6-2</t>
  </si>
  <si>
    <t>6-4, 7-6 (1)</t>
  </si>
  <si>
    <t>7-5, 6-2</t>
  </si>
  <si>
    <t>Abrir Word/ Seleccionar, Copiar, pegado especial en documento1 y de Word imagen (metarchivos de windos), Copiar y Pegar en Resumen.</t>
  </si>
  <si>
    <t>GRUPO -A-</t>
  </si>
  <si>
    <t>CLASIFICACIÓN GENERAL 1ª FASE - (Ranking)</t>
  </si>
  <si>
    <t>6-1, 6-3</t>
  </si>
  <si>
    <t>Semifinales</t>
  </si>
  <si>
    <r>
      <t xml:space="preserve">ENFRENTAMIENTOS                                                                                                                 </t>
    </r>
    <r>
      <rPr>
        <sz val="12"/>
        <color indexed="12"/>
        <rFont val="Arial"/>
        <family val="2"/>
      </rPr>
      <t xml:space="preserve">Participarán los ocho primeros jugadores clasificados del </t>
    </r>
    <r>
      <rPr>
        <b/>
        <sz val="12"/>
        <color indexed="12"/>
        <rFont val="Arial"/>
        <family val="2"/>
      </rPr>
      <t>Ranking Club de Tenis Linares</t>
    </r>
    <r>
      <rPr>
        <sz val="12"/>
        <color indexed="12"/>
        <rFont val="Arial"/>
        <family val="2"/>
      </rPr>
      <t>.                Se jugará por el sistema Round-Robin. Las dos primeras raquetas del</t>
    </r>
    <r>
      <rPr>
        <b/>
        <sz val="12"/>
        <color indexed="12"/>
        <rFont val="Arial"/>
        <family val="2"/>
      </rPr>
      <t xml:space="preserve"> </t>
    </r>
    <r>
      <rPr>
        <sz val="12"/>
        <color indexed="12"/>
        <rFont val="Arial"/>
        <family val="2"/>
      </rPr>
      <t xml:space="preserve">Ranking Club de Tenis Linares encabezan los </t>
    </r>
    <r>
      <rPr>
        <b/>
        <sz val="12"/>
        <color indexed="12"/>
        <rFont val="Arial"/>
        <family val="2"/>
      </rPr>
      <t>Grupos</t>
    </r>
    <r>
      <rPr>
        <sz val="12"/>
        <color indexed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A</t>
    </r>
    <r>
      <rPr>
        <sz val="12"/>
        <color indexed="12"/>
        <rFont val="Arial"/>
        <family val="2"/>
      </rPr>
      <t xml:space="preserve"> y </t>
    </r>
    <r>
      <rPr>
        <b/>
        <sz val="12"/>
        <color indexed="12"/>
        <rFont val="Arial"/>
        <family val="2"/>
      </rPr>
      <t>B.</t>
    </r>
    <r>
      <rPr>
        <sz val="12"/>
        <color indexed="12"/>
        <rFont val="Arial"/>
        <family val="2"/>
      </rPr>
      <t xml:space="preserve"> Los demás jugadores se sortean para que caigan en un grupo u otro.   En cada grupo, juegan todos contra todos y los dos primeros pasarán a las semifinales.                                                                </t>
    </r>
    <r>
      <rPr>
        <b/>
        <sz val="12"/>
        <color indexed="12"/>
        <rFont val="Arial"/>
        <family val="2"/>
      </rPr>
      <t>La clasificación de la primera fase decidirá los puestos a ocupar en la ronda +1 del Ranking</t>
    </r>
    <r>
      <rPr>
        <sz val="12"/>
        <color indexed="12"/>
        <rFont val="Arial"/>
        <family val="2"/>
      </rPr>
      <t>.</t>
    </r>
  </si>
  <si>
    <t>Partidos arbitrados por Jueces Árbitros FAT</t>
  </si>
  <si>
    <t>J.A.:</t>
  </si>
  <si>
    <t xml:space="preserve">J. A: </t>
  </si>
  <si>
    <t>J. A:</t>
  </si>
  <si>
    <t>6-1, 3-0</t>
  </si>
  <si>
    <t>6-3, 6-1</t>
  </si>
  <si>
    <t>Pistas Deportivas La Garza - Linares 2020</t>
  </si>
  <si>
    <t xml:space="preserve">         Antonio M. Caro G.</t>
  </si>
  <si>
    <t>6-2, 6-1</t>
  </si>
  <si>
    <t>"XI COPA MASTER" C. T. LINARES</t>
  </si>
  <si>
    <t>LINARES 2021 - Primera fase</t>
  </si>
  <si>
    <t>LINARES 2021 - Semifinales</t>
  </si>
  <si>
    <t>LINARES 2021 - Final</t>
  </si>
  <si>
    <t>José de Castro</t>
  </si>
  <si>
    <t>Javier Cabello</t>
  </si>
  <si>
    <t>Sergio Soriano</t>
  </si>
  <si>
    <t>Luis C. Torres</t>
  </si>
  <si>
    <t>Antonio M. Caro</t>
  </si>
  <si>
    <t>Fernando Sanz</t>
  </si>
  <si>
    <t>Isma Barrionuevo</t>
  </si>
  <si>
    <t>JOSÉ DE CASTRO CONTRERAS</t>
  </si>
  <si>
    <t>JAVIER CABELLO MARTOS</t>
  </si>
  <si>
    <t>SERGIO SORIANO ARANDA</t>
  </si>
  <si>
    <t>ANTONIO EXPÓSITO CÁCERES</t>
  </si>
  <si>
    <t>LUIS CARLOS TORRES PALOMARES</t>
  </si>
  <si>
    <t>ANTONIO MANUEL CARO GUERRA</t>
  </si>
  <si>
    <t>ISMAEL BARRIONUEVO MORENO</t>
  </si>
  <si>
    <t>FERNANDO SANZ CÁMARA</t>
  </si>
  <si>
    <t>JESÚS GARCÍA LOZANO</t>
  </si>
  <si>
    <t>TOMÁS CEREZUELA CAZALILLA</t>
  </si>
  <si>
    <t>ALEJANDRO MARTÍNEZ GARCÍA</t>
  </si>
  <si>
    <t>FERNANDO LÓPEZ AGUILERA</t>
  </si>
  <si>
    <t>FRANCISCO JAVIER DUEÑAS ÁLVAREZ</t>
  </si>
  <si>
    <t>ANTONIO FRANCISCO GONZÁLEZ JIMÉNEZ</t>
  </si>
  <si>
    <t>JOSÉ ANTONIO HERRERO RÍSQUEZ</t>
  </si>
  <si>
    <t>JOSÉ CARLOS HERRERA MÉNDEZ</t>
  </si>
  <si>
    <t>JAVIER FERNÁNDEZ ALAMEDA</t>
  </si>
  <si>
    <t>MIGUEL ÁNGEL RELOVA BAUTISTA</t>
  </si>
  <si>
    <t>JUAN JOSÉ CASTRO FERNÁNDEZ</t>
  </si>
  <si>
    <t>JUAN SEBASTIÁN SEOANE RECHE</t>
  </si>
  <si>
    <t>FERNANDO MONTORO ZAFRA</t>
  </si>
  <si>
    <t xml:space="preserve"> PABLO ANDRÉS ORTUÑO ROMERO</t>
  </si>
  <si>
    <t>SAMUEL HEREDIA CANOVACA</t>
  </si>
  <si>
    <t>ÁNGEL HIDALGO COMBRERAS</t>
  </si>
  <si>
    <t>DIEGO LOZANO RODRÍGUEZ</t>
  </si>
  <si>
    <t>FRANCISCO HERNÁNDEZ MARÍN</t>
  </si>
  <si>
    <t>MIGUEL ÁNGEL IÑESTA MICÓ</t>
  </si>
  <si>
    <t>JAVIER MORENO ESPINILLA</t>
  </si>
  <si>
    <t>Bailén</t>
  </si>
  <si>
    <t>El Rubio</t>
  </si>
  <si>
    <t>Linares</t>
  </si>
  <si>
    <t>Andujar</t>
  </si>
  <si>
    <t>Oberhausen</t>
  </si>
  <si>
    <t>Jesús García</t>
  </si>
  <si>
    <r>
      <rPr>
        <b/>
        <sz val="10"/>
        <color rgb="FFFF0000"/>
        <rFont val="Arial"/>
        <family val="2"/>
      </rPr>
      <t xml:space="preserve">4   </t>
    </r>
    <r>
      <rPr>
        <b/>
        <sz val="10"/>
        <rFont val="Arial"/>
        <family val="2"/>
      </rPr>
      <t xml:space="preserve">     5</t>
    </r>
  </si>
  <si>
    <r>
      <rPr>
        <b/>
        <sz val="10"/>
        <color rgb="FFFF0000"/>
        <rFont val="Arial"/>
        <family val="2"/>
      </rPr>
      <t xml:space="preserve">5  </t>
    </r>
    <r>
      <rPr>
        <b/>
        <sz val="10"/>
        <rFont val="Arial"/>
        <family val="2"/>
      </rPr>
      <t xml:space="preserve">      6</t>
    </r>
  </si>
  <si>
    <r>
      <rPr>
        <b/>
        <sz val="10"/>
        <color rgb="FFFF0000"/>
        <rFont val="Arial"/>
        <family val="2"/>
      </rPr>
      <t xml:space="preserve">6    </t>
    </r>
    <r>
      <rPr>
        <b/>
        <sz val="10"/>
        <rFont val="Arial"/>
        <family val="2"/>
      </rPr>
      <t xml:space="preserve">    7</t>
    </r>
  </si>
  <si>
    <r>
      <rPr>
        <b/>
        <sz val="10"/>
        <color rgb="FFFF0000"/>
        <rFont val="Arial"/>
        <family val="2"/>
      </rPr>
      <t xml:space="preserve">7  </t>
    </r>
    <r>
      <rPr>
        <b/>
        <sz val="10"/>
        <rFont val="Arial"/>
        <family val="2"/>
      </rPr>
      <t xml:space="preserve">      8</t>
    </r>
  </si>
  <si>
    <r>
      <rPr>
        <b/>
        <sz val="10"/>
        <color rgb="FFFF0000"/>
        <rFont val="Arial"/>
        <family val="2"/>
      </rPr>
      <t xml:space="preserve">8   </t>
    </r>
    <r>
      <rPr>
        <b/>
        <sz val="10"/>
        <rFont val="Arial"/>
        <family val="2"/>
      </rPr>
      <t xml:space="preserve">     9</t>
    </r>
  </si>
  <si>
    <t>La Garza-2</t>
  </si>
  <si>
    <t>La Garza-1</t>
  </si>
  <si>
    <r>
      <t xml:space="preserve">INCIDENCIAS: </t>
    </r>
    <r>
      <rPr>
        <b/>
        <sz val="10"/>
        <rFont val="Arial"/>
        <family val="2"/>
      </rPr>
      <t xml:space="preserve">    1.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El jugador </t>
    </r>
    <r>
      <rPr>
        <b/>
        <sz val="10"/>
        <rFont val="Arial"/>
        <family val="2"/>
      </rPr>
      <t>Jesús García Lozano</t>
    </r>
    <r>
      <rPr>
        <sz val="10"/>
        <rFont val="Arial"/>
        <family val="2"/>
      </rPr>
      <t xml:space="preserve"> entra en el puesto 8 tras la renuncia de </t>
    </r>
    <r>
      <rPr>
        <b/>
        <sz val="10"/>
        <rFont val="Arial"/>
        <family val="2"/>
      </rPr>
      <t>Antonio Expósito</t>
    </r>
    <r>
      <rPr>
        <sz val="10"/>
        <rFont val="Arial"/>
        <family val="2"/>
      </rPr>
      <t xml:space="preserve"> a su participación en la </t>
    </r>
    <r>
      <rPr>
        <b/>
        <sz val="10"/>
        <rFont val="Arial"/>
        <family val="2"/>
      </rPr>
      <t>Copa Master.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>Por motivo de lluvias se prorroga una semana más la competición.</t>
    </r>
  </si>
  <si>
    <r>
      <t xml:space="preserve">del 25 de octubre al 15 de noviembre de 2021 </t>
    </r>
    <r>
      <rPr>
        <b/>
        <i/>
        <sz val="12"/>
        <color indexed="10"/>
        <rFont val="Verdana"/>
        <family val="2"/>
      </rPr>
      <t>*fase previa*</t>
    </r>
  </si>
  <si>
    <t>José Castro</t>
  </si>
  <si>
    <t>J. Cabello</t>
  </si>
  <si>
    <t>I. Barrionuevo</t>
  </si>
  <si>
    <t>S. Soriano</t>
  </si>
  <si>
    <t>La Garza</t>
  </si>
  <si>
    <t>7-5, 6-1</t>
  </si>
  <si>
    <t xml:space="preserve">         Javier Martos Ratias</t>
  </si>
  <si>
    <t xml:space="preserve">         Javier Cabello Martos</t>
  </si>
  <si>
    <t xml:space="preserve">         Sergio Soriano 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</si>
</sst>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&quot;de&quot;\ mmm"/>
  </numFmts>
  <fonts count="10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i/>
      <sz val="8"/>
      <color indexed="60"/>
      <name val="Arial"/>
      <family val="2"/>
    </font>
    <font>
      <sz val="7"/>
      <color indexed="60"/>
      <name val="Arial"/>
      <family val="2"/>
    </font>
    <font>
      <b/>
      <sz val="10"/>
      <color indexed="53"/>
      <name val="Arial"/>
      <family val="2"/>
    </font>
    <font>
      <sz val="10"/>
      <color indexed="47"/>
      <name val="Arial"/>
      <family val="2"/>
    </font>
    <font>
      <i/>
      <sz val="8"/>
      <color indexed="10"/>
      <name val="Arial"/>
      <family val="2"/>
    </font>
    <font>
      <i/>
      <sz val="7"/>
      <color indexed="60"/>
      <name val="Arial"/>
      <family val="2"/>
    </font>
    <font>
      <i/>
      <sz val="10"/>
      <name val="Arial"/>
      <family val="2"/>
    </font>
    <font>
      <b/>
      <sz val="8"/>
      <color indexed="60"/>
      <name val="Arial Narrow"/>
      <family val="2"/>
    </font>
    <font>
      <sz val="10"/>
      <name val="Wingdings"/>
      <charset val="2"/>
    </font>
    <font>
      <i/>
      <sz val="8"/>
      <color indexed="53"/>
      <name val="Arial"/>
      <family val="2"/>
    </font>
    <font>
      <b/>
      <sz val="10"/>
      <color indexed="60"/>
      <name val="Arial"/>
      <family val="2"/>
    </font>
    <font>
      <sz val="8"/>
      <color indexed="60"/>
      <name val="Arial Narrow"/>
      <family val="2"/>
    </font>
    <font>
      <b/>
      <sz val="8"/>
      <color indexed="60"/>
      <name val="Wingdings"/>
      <charset val="2"/>
    </font>
    <font>
      <b/>
      <sz val="10"/>
      <color indexed="52"/>
      <name val="Arial Narrow"/>
      <family val="2"/>
    </font>
    <font>
      <i/>
      <sz val="16"/>
      <color indexed="47"/>
      <name val="Verdana"/>
      <family val="2"/>
    </font>
    <font>
      <sz val="6"/>
      <name val="Arial Narrow"/>
      <family val="2"/>
    </font>
    <font>
      <i/>
      <sz val="8"/>
      <color indexed="53"/>
      <name val="Arial Narrow"/>
      <family val="2"/>
    </font>
    <font>
      <sz val="10"/>
      <color indexed="60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8"/>
      <color indexed="47"/>
      <name val="Arial Narrow"/>
      <family val="2"/>
    </font>
    <font>
      <sz val="6"/>
      <color indexed="5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60"/>
      <name val="Arial Narrow"/>
      <family val="2"/>
    </font>
    <font>
      <b/>
      <sz val="12"/>
      <color indexed="60"/>
      <name val="Arial"/>
      <family val="2"/>
    </font>
    <font>
      <b/>
      <sz val="10"/>
      <name val="Arial"/>
      <family val="2"/>
    </font>
    <font>
      <b/>
      <i/>
      <sz val="12"/>
      <color indexed="52"/>
      <name val="Arial"/>
      <family val="2"/>
    </font>
    <font>
      <b/>
      <sz val="12"/>
      <color indexed="60"/>
      <name val="Arial Narrow"/>
      <family val="2"/>
    </font>
    <font>
      <b/>
      <i/>
      <sz val="14"/>
      <color indexed="53"/>
      <name val="Arial"/>
      <family val="2"/>
    </font>
    <font>
      <sz val="12"/>
      <color indexed="60"/>
      <name val="Wingdings"/>
      <charset val="2"/>
    </font>
    <font>
      <sz val="10"/>
      <color indexed="60"/>
      <name val="Wingdings"/>
      <charset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sz val="36"/>
      <color indexed="47"/>
      <name val="Haettenschweiler"/>
      <family val="2"/>
    </font>
    <font>
      <b/>
      <sz val="20"/>
      <color indexed="52"/>
      <name val="Verdana"/>
      <family val="2"/>
    </font>
    <font>
      <sz val="20"/>
      <color indexed="47"/>
      <name val="Verdana"/>
      <family val="2"/>
    </font>
    <font>
      <b/>
      <sz val="24"/>
      <color indexed="47"/>
      <name val="Verdana"/>
      <family val="2"/>
    </font>
    <font>
      <b/>
      <sz val="8"/>
      <color indexed="60"/>
      <name val="Arial"/>
      <family val="2"/>
    </font>
    <font>
      <sz val="8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52"/>
      <name val="Arial"/>
      <family val="2"/>
    </font>
    <font>
      <sz val="10"/>
      <color indexed="52"/>
      <name val="Arial"/>
      <family val="2"/>
    </font>
    <font>
      <sz val="11"/>
      <color indexed="52"/>
      <name val="Arial"/>
      <family val="2"/>
    </font>
    <font>
      <b/>
      <sz val="11"/>
      <color indexed="52"/>
      <name val="Arial"/>
      <family val="2"/>
    </font>
    <font>
      <sz val="8"/>
      <color indexed="52"/>
      <name val="Arial"/>
      <family val="2"/>
    </font>
    <font>
      <sz val="12"/>
      <color indexed="52"/>
      <name val="Arial"/>
      <family val="2"/>
    </font>
    <font>
      <b/>
      <sz val="12"/>
      <color indexed="52"/>
      <name val="Arial"/>
      <family val="2"/>
    </font>
    <font>
      <b/>
      <sz val="8"/>
      <name val="Arial"/>
      <family val="2"/>
    </font>
    <font>
      <b/>
      <sz val="8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60"/>
      <name val="Arial Narrow"/>
      <family val="2"/>
    </font>
    <font>
      <b/>
      <sz val="10"/>
      <color indexed="60"/>
      <name val="Arial Narrow"/>
      <family val="2"/>
    </font>
    <font>
      <b/>
      <sz val="10"/>
      <color indexed="6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2"/>
      <color indexed="47"/>
      <name val="Arial"/>
      <family val="2"/>
    </font>
    <font>
      <b/>
      <sz val="12"/>
      <color indexed="53"/>
      <name val="Arial"/>
      <family val="2"/>
    </font>
    <font>
      <b/>
      <sz val="20"/>
      <name val="Arial Narrow"/>
      <family val="2"/>
    </font>
    <font>
      <b/>
      <sz val="12"/>
      <name val="Verdana"/>
      <family val="2"/>
    </font>
    <font>
      <b/>
      <sz val="20"/>
      <name val="Verdana"/>
      <family val="2"/>
    </font>
    <font>
      <b/>
      <sz val="13"/>
      <color indexed="53"/>
      <name val="Verdana"/>
      <family val="2"/>
    </font>
    <font>
      <sz val="28"/>
      <color indexed="16"/>
      <name val="Arial"/>
      <family val="2"/>
    </font>
    <font>
      <b/>
      <sz val="16"/>
      <color indexed="8"/>
      <name val="Arial Narrow"/>
      <family val="2"/>
    </font>
    <font>
      <sz val="16"/>
      <color indexed="8"/>
      <name val="Arial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8"/>
      <color indexed="16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48"/>
      <color indexed="47"/>
      <name val="Verdana"/>
      <family val="2"/>
    </font>
    <font>
      <sz val="8"/>
      <name val="Arial"/>
      <family val="2"/>
    </font>
    <font>
      <i/>
      <sz val="10"/>
      <color indexed="60"/>
      <name val="Arial"/>
      <family val="2"/>
    </font>
    <font>
      <b/>
      <sz val="24"/>
      <name val="Arial"/>
      <family val="2"/>
    </font>
    <font>
      <i/>
      <sz val="11"/>
      <color indexed="12"/>
      <name val="Arial Narrow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20"/>
      <color indexed="12"/>
      <name val="Arial Narrow"/>
      <family val="2"/>
    </font>
    <font>
      <b/>
      <sz val="12"/>
      <color indexed="12"/>
      <name val="Verdana"/>
      <family val="2"/>
    </font>
    <font>
      <b/>
      <sz val="20"/>
      <color indexed="12"/>
      <name val="Verdana"/>
      <family val="2"/>
    </font>
    <font>
      <sz val="9"/>
      <color indexed="60"/>
      <name val="Arial"/>
      <family val="2"/>
    </font>
    <font>
      <i/>
      <sz val="8"/>
      <color indexed="60"/>
      <name val="Arial Narrow"/>
      <family val="2"/>
    </font>
    <font>
      <sz val="28"/>
      <color indexed="22"/>
      <name val="Haettenschweiler"/>
      <family val="2"/>
    </font>
    <font>
      <b/>
      <sz val="10"/>
      <color indexed="22"/>
      <name val="Arial"/>
      <family val="2"/>
    </font>
    <font>
      <i/>
      <sz val="11"/>
      <color indexed="16"/>
      <name val="Arial Narrow"/>
      <family val="2"/>
    </font>
    <font>
      <i/>
      <sz val="11"/>
      <color indexed="53"/>
      <name val="Arial Narrow"/>
      <family val="2"/>
    </font>
    <font>
      <b/>
      <sz val="9.5"/>
      <name val="Arial"/>
      <family val="2"/>
    </font>
    <font>
      <b/>
      <sz val="10"/>
      <name val="Arial"/>
    </font>
    <font>
      <b/>
      <i/>
      <sz val="12"/>
      <color indexed="10"/>
      <name val="Verdana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52"/>
        <bgColor indexed="47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2"/>
      </left>
      <right/>
      <top/>
      <bottom/>
      <diagonal/>
    </border>
    <border>
      <left/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/>
      <diagonal/>
    </border>
    <border>
      <left/>
      <right style="thin">
        <color indexed="52"/>
      </right>
      <top/>
      <bottom style="thin">
        <color indexed="52"/>
      </bottom>
      <diagonal/>
    </border>
    <border>
      <left/>
      <right/>
      <top/>
      <bottom style="thin">
        <color indexed="52"/>
      </bottom>
      <diagonal/>
    </border>
    <border>
      <left style="thin">
        <color indexed="52"/>
      </left>
      <right/>
      <top/>
      <bottom style="thin">
        <color indexed="53"/>
      </bottom>
      <diagonal/>
    </border>
    <border>
      <left style="thin">
        <color indexed="52"/>
      </left>
      <right/>
      <top/>
      <bottom style="thin">
        <color indexed="52"/>
      </bottom>
      <diagonal/>
    </border>
    <border>
      <left/>
      <right/>
      <top style="thin">
        <color indexed="52"/>
      </top>
      <bottom/>
      <diagonal/>
    </border>
    <border>
      <left/>
      <right style="thin">
        <color indexed="52"/>
      </right>
      <top/>
      <bottom/>
      <diagonal/>
    </border>
    <border>
      <left style="thin">
        <color indexed="52"/>
      </left>
      <right style="thin">
        <color indexed="5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3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2"/>
      </left>
      <right/>
      <top/>
      <bottom/>
      <diagonal/>
    </border>
    <border>
      <left/>
      <right style="thin">
        <color indexed="52"/>
      </right>
      <top style="thin">
        <color indexed="52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/>
      <right style="thin">
        <color indexed="53"/>
      </right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/>
      <top/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/>
      <diagonal/>
    </border>
    <border>
      <left/>
      <right style="thin">
        <color indexed="53"/>
      </right>
      <top/>
      <bottom style="thin">
        <color indexed="5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0" fillId="2" borderId="0" xfId="0" applyFill="1" applyAlignment="1" applyProtection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Protection="1"/>
    <xf numFmtId="0" fontId="0" fillId="4" borderId="0" xfId="0" applyFill="1" applyAlignment="1" applyProtection="1">
      <alignment vertical="center"/>
    </xf>
    <xf numFmtId="0" fontId="42" fillId="4" borderId="0" xfId="0" applyFont="1" applyFill="1" applyAlignment="1" applyProtection="1">
      <alignment horizontal="center" vertical="center"/>
    </xf>
    <xf numFmtId="0" fontId="42" fillId="4" borderId="0" xfId="0" applyFont="1" applyFill="1" applyAlignment="1" applyProtection="1">
      <alignment vertical="center"/>
    </xf>
    <xf numFmtId="0" fontId="41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/>
    </xf>
    <xf numFmtId="0" fontId="29" fillId="4" borderId="0" xfId="0" applyFont="1" applyFill="1" applyProtection="1"/>
    <xf numFmtId="0" fontId="22" fillId="3" borderId="0" xfId="0" applyFont="1" applyFill="1" applyAlignment="1">
      <alignment vertical="center"/>
    </xf>
    <xf numFmtId="0" fontId="42" fillId="5" borderId="1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0" fillId="4" borderId="0" xfId="0" applyFont="1" applyFill="1" applyAlignment="1" applyProtection="1">
      <alignment horizontal="center"/>
    </xf>
    <xf numFmtId="0" fontId="61" fillId="4" borderId="0" xfId="0" applyFont="1" applyFill="1" applyAlignment="1" applyProtection="1"/>
    <xf numFmtId="0" fontId="61" fillId="4" borderId="0" xfId="0" applyFont="1" applyFill="1" applyProtection="1"/>
    <xf numFmtId="0" fontId="0" fillId="2" borderId="0" xfId="0" applyFill="1" applyBorder="1" applyProtection="1"/>
    <xf numFmtId="0" fontId="65" fillId="0" borderId="0" xfId="0" applyFont="1" applyFill="1" applyBorder="1" applyAlignment="1" applyProtection="1">
      <alignment vertical="center"/>
    </xf>
    <xf numFmtId="0" fontId="66" fillId="0" borderId="0" xfId="0" applyFont="1" applyFill="1" applyBorder="1" applyAlignment="1" applyProtection="1">
      <alignment horizontal="center" vertical="center"/>
    </xf>
    <xf numFmtId="0" fontId="0" fillId="6" borderId="2" xfId="0" applyFill="1" applyBorder="1" applyProtection="1"/>
    <xf numFmtId="0" fontId="0" fillId="6" borderId="3" xfId="0" applyFill="1" applyBorder="1" applyProtection="1"/>
    <xf numFmtId="0" fontId="35" fillId="2" borderId="4" xfId="0" applyFont="1" applyFill="1" applyBorder="1" applyAlignment="1" applyProtection="1">
      <alignment horizontal="center"/>
    </xf>
    <xf numFmtId="0" fontId="0" fillId="7" borderId="5" xfId="0" applyFill="1" applyBorder="1" applyProtection="1"/>
    <xf numFmtId="0" fontId="35" fillId="2" borderId="2" xfId="0" applyFont="1" applyFill="1" applyBorder="1" applyAlignment="1" applyProtection="1">
      <alignment horizontal="center"/>
    </xf>
    <xf numFmtId="0" fontId="0" fillId="7" borderId="6" xfId="0" applyFill="1" applyBorder="1" applyProtection="1"/>
    <xf numFmtId="16" fontId="35" fillId="2" borderId="2" xfId="0" quotePrefix="1" applyNumberFormat="1" applyFont="1" applyFill="1" applyBorder="1" applyAlignment="1" applyProtection="1">
      <alignment horizontal="center"/>
    </xf>
    <xf numFmtId="0" fontId="35" fillId="2" borderId="2" xfId="0" quotePrefix="1" applyFont="1" applyFill="1" applyBorder="1" applyAlignment="1" applyProtection="1">
      <alignment horizontal="center"/>
    </xf>
    <xf numFmtId="0" fontId="35" fillId="2" borderId="7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0" fillId="7" borderId="0" xfId="0" applyFill="1"/>
    <xf numFmtId="0" fontId="68" fillId="4" borderId="0" xfId="0" applyFont="1" applyFill="1" applyAlignment="1" applyProtection="1">
      <alignment horizontal="center" vertical="center" wrapText="1"/>
    </xf>
    <xf numFmtId="0" fontId="44" fillId="4" borderId="0" xfId="0" applyFont="1" applyFill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0" fillId="4" borderId="2" xfId="0" applyFill="1" applyBorder="1" applyProtection="1"/>
    <xf numFmtId="0" fontId="0" fillId="4" borderId="0" xfId="0" applyFill="1" applyBorder="1" applyProtection="1"/>
    <xf numFmtId="0" fontId="0" fillId="4" borderId="10" xfId="0" applyFill="1" applyBorder="1" applyProtection="1"/>
    <xf numFmtId="0" fontId="0" fillId="0" borderId="2" xfId="0" applyBorder="1" applyAlignment="1"/>
    <xf numFmtId="0" fontId="0" fillId="0" borderId="0" xfId="0" applyAlignment="1"/>
    <xf numFmtId="0" fontId="35" fillId="7" borderId="2" xfId="0" applyFont="1" applyFill="1" applyBorder="1" applyProtection="1">
      <protection hidden="1"/>
    </xf>
    <xf numFmtId="0" fontId="35" fillId="7" borderId="7" xfId="0" applyFont="1" applyFill="1" applyBorder="1" applyProtection="1">
      <protection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14" fontId="65" fillId="4" borderId="8" xfId="0" applyNumberFormat="1" applyFont="1" applyFill="1" applyBorder="1" applyProtection="1">
      <protection hidden="1"/>
    </xf>
    <xf numFmtId="0" fontId="35" fillId="5" borderId="2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11" xfId="0" applyFill="1" applyBorder="1" applyProtection="1">
      <protection hidden="1"/>
    </xf>
    <xf numFmtId="20" fontId="0" fillId="2" borderId="0" xfId="0" applyNumberFormat="1" applyFill="1" applyBorder="1" applyAlignment="1" applyProtection="1">
      <alignment horizontal="center"/>
      <protection hidden="1"/>
    </xf>
    <xf numFmtId="20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alignment horizontal="right" vertical="center"/>
      <protection hidden="1"/>
    </xf>
    <xf numFmtId="0" fontId="7" fillId="2" borderId="12" xfId="0" applyFont="1" applyFill="1" applyBorder="1" applyAlignment="1" applyProtection="1">
      <alignment horizontal="right" vertical="center"/>
      <protection hidden="1"/>
    </xf>
    <xf numFmtId="0" fontId="64" fillId="2" borderId="13" xfId="0" applyFont="1" applyFill="1" applyBorder="1" applyAlignment="1" applyProtection="1">
      <alignment horizontal="center" vertical="center"/>
      <protection locked="0" hidden="1"/>
    </xf>
    <xf numFmtId="0" fontId="7" fillId="2" borderId="14" xfId="0" applyFont="1" applyFill="1" applyBorder="1" applyAlignment="1" applyProtection="1">
      <alignment vertical="center"/>
      <protection hidden="1"/>
    </xf>
    <xf numFmtId="16" fontId="25" fillId="2" borderId="15" xfId="0" applyNumberFormat="1" applyFont="1" applyFill="1" applyBorder="1" applyAlignment="1" applyProtection="1">
      <alignment horizontal="center" vertical="center"/>
      <protection hidden="1"/>
    </xf>
    <xf numFmtId="0" fontId="0" fillId="2" borderId="15" xfId="0" applyFill="1" applyBorder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20" fontId="23" fillId="2" borderId="16" xfId="0" applyNumberFormat="1" applyFont="1" applyFill="1" applyBorder="1" applyAlignment="1" applyProtection="1">
      <alignment horizontal="left" vertical="top"/>
      <protection hidden="1"/>
    </xf>
    <xf numFmtId="22" fontId="5" fillId="2" borderId="0" xfId="0" applyNumberFormat="1" applyFont="1" applyFill="1" applyAlignment="1" applyProtection="1">
      <alignment horizontal="center"/>
      <protection hidden="1"/>
    </xf>
    <xf numFmtId="20" fontId="0" fillId="2" borderId="11" xfId="0" applyNumberFormat="1" applyFill="1" applyBorder="1" applyAlignment="1" applyProtection="1">
      <alignment horizontal="center"/>
      <protection hidden="1"/>
    </xf>
    <xf numFmtId="20" fontId="0" fillId="2" borderId="17" xfId="0" applyNumberFormat="1" applyFill="1" applyBorder="1" applyAlignment="1" applyProtection="1">
      <alignment horizontal="center"/>
      <protection hidden="1"/>
    </xf>
    <xf numFmtId="0" fontId="0" fillId="2" borderId="18" xfId="0" applyFill="1" applyBorder="1" applyProtection="1">
      <protection hidden="1"/>
    </xf>
    <xf numFmtId="0" fontId="21" fillId="2" borderId="0" xfId="0" applyFont="1" applyFill="1" applyBorder="1" applyAlignment="1" applyProtection="1">
      <alignment horizontal="center" vertical="center"/>
      <protection locked="0" hidden="1"/>
    </xf>
    <xf numFmtId="0" fontId="21" fillId="2" borderId="16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28" fillId="2" borderId="0" xfId="0" applyFont="1" applyFill="1" applyAlignment="1" applyProtection="1">
      <alignment horizontal="right" vertical="center"/>
      <protection hidden="1"/>
    </xf>
    <xf numFmtId="0" fontId="63" fillId="2" borderId="15" xfId="0" applyFont="1" applyFill="1" applyBorder="1" applyAlignment="1" applyProtection="1">
      <alignment vertical="center"/>
      <protection hidden="1"/>
    </xf>
    <xf numFmtId="0" fontId="7" fillId="2" borderId="15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62" fillId="2" borderId="15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25" fillId="2" borderId="15" xfId="0" applyFont="1" applyFill="1" applyBorder="1" applyAlignment="1" applyProtection="1">
      <alignment vertical="center"/>
      <protection hidden="1"/>
    </xf>
    <xf numFmtId="0" fontId="3" fillId="2" borderId="11" xfId="0" applyFont="1" applyFill="1" applyBorder="1" applyAlignment="1" applyProtection="1">
      <alignment vertical="center"/>
      <protection hidden="1"/>
    </xf>
    <xf numFmtId="0" fontId="3" fillId="2" borderId="0" xfId="0" applyFont="1" applyFill="1" applyProtection="1">
      <protection hidden="1"/>
    </xf>
    <xf numFmtId="0" fontId="3" fillId="2" borderId="11" xfId="0" applyFon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8" fillId="2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3" fillId="0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11" fillId="0" borderId="0" xfId="0" applyNumberFormat="1" applyFont="1" applyFill="1" applyProtection="1">
      <protection hidden="1"/>
    </xf>
    <xf numFmtId="0" fontId="35" fillId="2" borderId="0" xfId="0" applyFont="1" applyFill="1" applyProtection="1">
      <protection hidden="1"/>
    </xf>
    <xf numFmtId="0" fontId="86" fillId="2" borderId="0" xfId="0" applyFont="1" applyFill="1" applyBorder="1" applyAlignment="1" applyProtection="1">
      <alignment horizont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locked="0" hidden="1"/>
    </xf>
    <xf numFmtId="49" fontId="18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left"/>
      <protection hidden="1"/>
    </xf>
    <xf numFmtId="0" fontId="14" fillId="2" borderId="11" xfId="0" applyFont="1" applyFill="1" applyBorder="1" applyProtection="1">
      <protection hidden="1"/>
    </xf>
    <xf numFmtId="0" fontId="14" fillId="2" borderId="0" xfId="0" applyFont="1" applyFill="1" applyBorder="1" applyAlignment="1" applyProtection="1">
      <protection hidden="1"/>
    </xf>
    <xf numFmtId="49" fontId="15" fillId="2" borderId="15" xfId="0" applyNumberFormat="1" applyFont="1" applyFill="1" applyBorder="1" applyAlignment="1" applyProtection="1">
      <alignment horizontal="left" vertical="center"/>
      <protection hidden="1"/>
    </xf>
    <xf numFmtId="0" fontId="0" fillId="2" borderId="17" xfId="0" applyFill="1" applyBorder="1" applyAlignment="1" applyProtection="1">
      <alignment vertical="center"/>
      <protection hidden="1"/>
    </xf>
    <xf numFmtId="0" fontId="0" fillId="2" borderId="20" xfId="0" applyFill="1" applyBorder="1" applyAlignment="1" applyProtection="1">
      <alignment vertical="center"/>
      <protection hidden="1"/>
    </xf>
    <xf numFmtId="0" fontId="0" fillId="2" borderId="18" xfId="0" applyFill="1" applyBorder="1" applyAlignment="1" applyProtection="1">
      <alignment vertical="center"/>
      <protection hidden="1"/>
    </xf>
    <xf numFmtId="164" fontId="24" fillId="2" borderId="0" xfId="0" applyNumberFormat="1" applyFont="1" applyFill="1" applyBorder="1" applyAlignment="1" applyProtection="1">
      <alignment horizontal="right" vertical="top"/>
      <protection hidden="1"/>
    </xf>
    <xf numFmtId="20" fontId="17" fillId="2" borderId="0" xfId="0" applyNumberFormat="1" applyFont="1" applyFill="1" applyBorder="1" applyAlignment="1" applyProtection="1">
      <alignment horizontal="center" vertical="top"/>
      <protection hidden="1"/>
    </xf>
    <xf numFmtId="0" fontId="47" fillId="9" borderId="21" xfId="0" applyFont="1" applyFill="1" applyBorder="1" applyAlignment="1" applyProtection="1">
      <alignment horizontal="center"/>
      <protection hidden="1"/>
    </xf>
    <xf numFmtId="0" fontId="35" fillId="9" borderId="21" xfId="0" applyFont="1" applyFill="1" applyBorder="1" applyAlignment="1" applyProtection="1">
      <protection hidden="1"/>
    </xf>
    <xf numFmtId="0" fontId="29" fillId="2" borderId="0" xfId="0" applyFont="1" applyFill="1" applyAlignment="1" applyProtection="1">
      <alignment vertical="top"/>
      <protection hidden="1"/>
    </xf>
    <xf numFmtId="0" fontId="30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67" fillId="2" borderId="0" xfId="0" applyFont="1" applyFill="1" applyAlignment="1" applyProtection="1">
      <alignment horizontal="center" vertical="center"/>
      <protection hidden="1"/>
    </xf>
    <xf numFmtId="22" fontId="0" fillId="2" borderId="0" xfId="0" applyNumberFormat="1" applyFill="1" applyAlignment="1" applyProtection="1">
      <alignment vertical="center"/>
      <protection hidden="1"/>
    </xf>
    <xf numFmtId="0" fontId="56" fillId="2" borderId="13" xfId="0" applyFont="1" applyFill="1" applyBorder="1" applyAlignment="1" applyProtection="1">
      <alignment horizontal="right" vertical="center"/>
      <protection hidden="1"/>
    </xf>
    <xf numFmtId="0" fontId="57" fillId="2" borderId="13" xfId="0" applyFont="1" applyFill="1" applyBorder="1" applyAlignment="1" applyProtection="1">
      <alignment horizontal="center" vertical="center"/>
      <protection locked="0"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6" fontId="33" fillId="2" borderId="0" xfId="0" applyNumberFormat="1" applyFont="1" applyFill="1" applyAlignment="1" applyProtection="1">
      <alignment horizontal="right" vertical="center"/>
      <protection hidden="1"/>
    </xf>
    <xf numFmtId="20" fontId="33" fillId="2" borderId="0" xfId="0" applyNumberFormat="1" applyFont="1" applyFill="1" applyAlignment="1" applyProtection="1">
      <alignment horizontal="center" vertical="center"/>
      <protection hidden="1"/>
    </xf>
    <xf numFmtId="0" fontId="26" fillId="2" borderId="0" xfId="0" applyFont="1" applyFill="1" applyBorder="1" applyAlignment="1" applyProtection="1">
      <alignment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55" fillId="2" borderId="0" xfId="0" applyFont="1" applyFill="1" applyAlignment="1" applyProtection="1">
      <alignment vertical="center"/>
      <protection hidden="1"/>
    </xf>
    <xf numFmtId="0" fontId="18" fillId="2" borderId="15" xfId="0" applyFont="1" applyFill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22" xfId="0" applyFill="1" applyBorder="1" applyAlignment="1" applyProtection="1">
      <alignment vertical="center"/>
      <protection hidden="1"/>
    </xf>
    <xf numFmtId="0" fontId="36" fillId="2" borderId="0" xfId="0" applyFont="1" applyFill="1" applyAlignment="1" applyProtection="1">
      <alignment horizontal="right" vertical="center"/>
      <protection hidden="1"/>
    </xf>
    <xf numFmtId="0" fontId="36" fillId="2" borderId="20" xfId="0" applyFont="1" applyFill="1" applyBorder="1" applyAlignment="1" applyProtection="1">
      <alignment horizontal="left"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22" fontId="17" fillId="2" borderId="0" xfId="0" applyNumberFormat="1" applyFont="1" applyFill="1" applyBorder="1" applyAlignment="1" applyProtection="1">
      <alignment horizontal="center" vertical="top"/>
      <protection hidden="1"/>
    </xf>
    <xf numFmtId="0" fontId="31" fillId="9" borderId="21" xfId="0" applyFont="1" applyFill="1" applyBorder="1" applyAlignment="1" applyProtection="1">
      <protection hidden="1"/>
    </xf>
    <xf numFmtId="0" fontId="30" fillId="2" borderId="22" xfId="0" applyFont="1" applyFill="1" applyBorder="1" applyAlignment="1" applyProtection="1">
      <alignment horizontal="right" vertical="center"/>
      <protection hidden="1"/>
    </xf>
    <xf numFmtId="0" fontId="53" fillId="2" borderId="13" xfId="0" applyFont="1" applyFill="1" applyBorder="1" applyAlignment="1" applyProtection="1">
      <alignment horizontal="right" vertical="center"/>
      <protection hidden="1"/>
    </xf>
    <xf numFmtId="0" fontId="54" fillId="2" borderId="13" xfId="0" applyFont="1" applyFill="1" applyBorder="1" applyAlignment="1" applyProtection="1">
      <alignment horizontal="center" vertical="center"/>
      <protection locked="0" hidden="1"/>
    </xf>
    <xf numFmtId="0" fontId="25" fillId="2" borderId="0" xfId="0" applyFont="1" applyFill="1" applyAlignment="1" applyProtection="1">
      <alignment horizontal="left" vertical="center"/>
      <protection hidden="1"/>
    </xf>
    <xf numFmtId="16" fontId="25" fillId="2" borderId="0" xfId="0" applyNumberFormat="1" applyFont="1" applyFill="1" applyAlignment="1" applyProtection="1">
      <alignment horizontal="left" vertical="center"/>
      <protection hidden="1"/>
    </xf>
    <xf numFmtId="0" fontId="26" fillId="2" borderId="23" xfId="0" applyFont="1" applyFill="1" applyBorder="1" applyAlignment="1" applyProtection="1">
      <alignment vertical="center"/>
      <protection hidden="1"/>
    </xf>
    <xf numFmtId="0" fontId="34" fillId="2" borderId="13" xfId="0" applyFont="1" applyFill="1" applyBorder="1" applyAlignment="1" applyProtection="1">
      <alignment vertical="center"/>
      <protection hidden="1"/>
    </xf>
    <xf numFmtId="0" fontId="30" fillId="2" borderId="17" xfId="0" applyFont="1" applyFill="1" applyBorder="1" applyAlignment="1" applyProtection="1">
      <alignment horizontal="right" vertical="center"/>
      <protection hidden="1"/>
    </xf>
    <xf numFmtId="0" fontId="38" fillId="2" borderId="20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35" fillId="9" borderId="21" xfId="0" applyFont="1" applyFill="1" applyBorder="1" applyAlignment="1" applyProtection="1">
      <alignment vertical="center"/>
      <protection hidden="1"/>
    </xf>
    <xf numFmtId="0" fontId="47" fillId="9" borderId="21" xfId="0" applyFont="1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vertical="center"/>
      <protection hidden="1"/>
    </xf>
    <xf numFmtId="0" fontId="0" fillId="2" borderId="25" xfId="0" applyFill="1" applyBorder="1" applyAlignment="1" applyProtection="1">
      <alignment vertical="center"/>
      <protection hidden="1"/>
    </xf>
    <xf numFmtId="0" fontId="0" fillId="2" borderId="26" xfId="0" applyFill="1" applyBorder="1" applyAlignment="1" applyProtection="1">
      <alignment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0" fontId="0" fillId="2" borderId="27" xfId="0" applyFill="1" applyBorder="1" applyAlignment="1" applyProtection="1">
      <alignment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57" fillId="2" borderId="13" xfId="0" applyFont="1" applyFill="1" applyBorder="1" applyAlignment="1" applyProtection="1">
      <alignment horizontal="right" vertical="center"/>
      <protection hidden="1"/>
    </xf>
    <xf numFmtId="20" fontId="25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44" fillId="4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10" borderId="0" xfId="0" applyFill="1"/>
    <xf numFmtId="0" fontId="22" fillId="10" borderId="0" xfId="0" applyFont="1" applyFill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0" fillId="10" borderId="0" xfId="0" applyFill="1" applyAlignment="1">
      <alignment vertical="center"/>
    </xf>
    <xf numFmtId="0" fontId="22" fillId="10" borderId="0" xfId="0" applyFont="1" applyFill="1" applyAlignment="1">
      <alignment horizontal="center" vertical="center"/>
    </xf>
    <xf numFmtId="0" fontId="42" fillId="0" borderId="0" xfId="1" applyFont="1" applyFill="1" applyBorder="1" applyAlignment="1" applyProtection="1">
      <alignment horizontal="center" vertical="center"/>
    </xf>
    <xf numFmtId="0" fontId="94" fillId="2" borderId="12" xfId="0" applyFont="1" applyFill="1" applyBorder="1" applyAlignment="1" applyProtection="1">
      <alignment horizontal="right" vertical="center"/>
      <protection hidden="1"/>
    </xf>
    <xf numFmtId="0" fontId="94" fillId="2" borderId="14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right"/>
      <protection hidden="1"/>
    </xf>
    <xf numFmtId="164" fontId="95" fillId="2" borderId="28" xfId="0" applyNumberFormat="1" applyFont="1" applyFill="1" applyBorder="1" applyAlignment="1" applyProtection="1">
      <alignment horizontal="right"/>
      <protection hidden="1"/>
    </xf>
    <xf numFmtId="20" fontId="8" fillId="2" borderId="28" xfId="0" applyNumberFormat="1" applyFont="1" applyFill="1" applyBorder="1" applyAlignment="1" applyProtection="1">
      <alignment horizontal="center"/>
      <protection hidden="1"/>
    </xf>
    <xf numFmtId="0" fontId="35" fillId="2" borderId="0" xfId="0" applyFont="1" applyFill="1"/>
    <xf numFmtId="0" fontId="97" fillId="11" borderId="0" xfId="0" applyFont="1" applyFill="1"/>
    <xf numFmtId="0" fontId="39" fillId="2" borderId="0" xfId="0" applyFont="1" applyFill="1" applyBorder="1" applyAlignment="1" applyProtection="1">
      <alignment horizontal="center" vertical="center"/>
      <protection hidden="1"/>
    </xf>
    <xf numFmtId="0" fontId="40" fillId="2" borderId="22" xfId="0" applyFont="1" applyFill="1" applyBorder="1" applyAlignment="1" applyProtection="1">
      <alignment horizontal="center" vertical="center"/>
      <protection hidden="1"/>
    </xf>
    <xf numFmtId="0" fontId="99" fillId="2" borderId="15" xfId="0" applyFont="1" applyFill="1" applyBorder="1" applyAlignment="1" applyProtection="1">
      <alignment horizontal="right" vertical="center"/>
      <protection hidden="1"/>
    </xf>
    <xf numFmtId="0" fontId="68" fillId="2" borderId="13" xfId="0" applyFont="1" applyFill="1" applyBorder="1" applyAlignment="1" applyProtection="1">
      <alignment horizontal="center" vertical="center"/>
      <protection locked="0" hidden="1"/>
    </xf>
    <xf numFmtId="0" fontId="10" fillId="2" borderId="15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5" fillId="7" borderId="29" xfId="0" applyFont="1" applyFill="1" applyBorder="1" applyAlignment="1" applyProtection="1">
      <alignment horizontal="center" vertical="center"/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5" fillId="7" borderId="0" xfId="0" applyFont="1" applyFill="1" applyBorder="1" applyAlignment="1" applyProtection="1">
      <alignment horizontal="left" vertical="center"/>
      <protection hidden="1"/>
    </xf>
    <xf numFmtId="0" fontId="5" fillId="7" borderId="0" xfId="0" applyFont="1" applyFill="1" applyBorder="1" applyAlignment="1" applyProtection="1">
      <alignment vertical="center"/>
      <protection hidden="1"/>
    </xf>
    <xf numFmtId="0" fontId="5" fillId="7" borderId="0" xfId="0" applyFont="1" applyFill="1" applyBorder="1" applyAlignment="1" applyProtection="1">
      <alignment horizontal="center" vertical="center"/>
      <protection hidden="1"/>
    </xf>
    <xf numFmtId="0" fontId="0" fillId="7" borderId="0" xfId="0" applyFill="1" applyBorder="1" applyAlignment="1" applyProtection="1">
      <alignment horizontal="left" vertical="center"/>
      <protection hidden="1"/>
    </xf>
    <xf numFmtId="0" fontId="0" fillId="7" borderId="24" xfId="0" applyFill="1" applyBorder="1" applyAlignment="1" applyProtection="1">
      <alignment vertical="center"/>
      <protection hidden="1"/>
    </xf>
    <xf numFmtId="0" fontId="0" fillId="7" borderId="27" xfId="0" applyFill="1" applyBorder="1" applyAlignment="1" applyProtection="1">
      <alignment vertical="center"/>
      <protection hidden="1"/>
    </xf>
    <xf numFmtId="0" fontId="0" fillId="7" borderId="0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7" borderId="30" xfId="0" applyFill="1" applyBorder="1" applyAlignment="1" applyProtection="1">
      <alignment vertical="center"/>
      <protection hidden="1"/>
    </xf>
    <xf numFmtId="0" fontId="0" fillId="7" borderId="31" xfId="0" applyFill="1" applyBorder="1" applyAlignment="1" applyProtection="1">
      <alignment vertical="center"/>
      <protection hidden="1"/>
    </xf>
    <xf numFmtId="0" fontId="0" fillId="7" borderId="32" xfId="0" applyFill="1" applyBorder="1" applyProtection="1">
      <protection hidden="1"/>
    </xf>
    <xf numFmtId="0" fontId="5" fillId="7" borderId="31" xfId="0" applyFont="1" applyFill="1" applyBorder="1" applyAlignment="1" applyProtection="1">
      <alignment vertical="center"/>
      <protection hidden="1"/>
    </xf>
    <xf numFmtId="0" fontId="5" fillId="7" borderId="33" xfId="0" applyFont="1" applyFill="1" applyBorder="1" applyAlignment="1" applyProtection="1">
      <alignment vertical="center"/>
      <protection hidden="1"/>
    </xf>
    <xf numFmtId="0" fontId="5" fillId="7" borderId="8" xfId="0" applyFont="1" applyFill="1" applyBorder="1" applyAlignment="1" applyProtection="1">
      <alignment vertical="center"/>
      <protection hidden="1"/>
    </xf>
    <xf numFmtId="0" fontId="5" fillId="7" borderId="34" xfId="0" applyFont="1" applyFill="1" applyBorder="1" applyAlignment="1" applyProtection="1">
      <alignment vertical="center"/>
      <protection hidden="1"/>
    </xf>
    <xf numFmtId="0" fontId="5" fillId="7" borderId="10" xfId="0" applyFont="1" applyFill="1" applyBorder="1" applyAlignment="1" applyProtection="1">
      <alignment vertical="center"/>
      <protection hidden="1"/>
    </xf>
    <xf numFmtId="0" fontId="5" fillId="7" borderId="0" xfId="0" applyFont="1" applyFill="1" applyBorder="1" applyAlignment="1" applyProtection="1">
      <alignment horizontal="right" vertical="center"/>
      <protection hidden="1"/>
    </xf>
    <xf numFmtId="0" fontId="5" fillId="7" borderId="7" xfId="0" applyFont="1" applyFill="1" applyBorder="1" applyAlignment="1" applyProtection="1">
      <alignment vertical="center"/>
      <protection hidden="1"/>
    </xf>
    <xf numFmtId="0" fontId="5" fillId="7" borderId="35" xfId="0" applyFont="1" applyFill="1" applyBorder="1" applyAlignment="1" applyProtection="1">
      <alignment vertical="center"/>
      <protection hidden="1"/>
    </xf>
    <xf numFmtId="0" fontId="0" fillId="7" borderId="24" xfId="0" applyFill="1" applyBorder="1" applyProtection="1">
      <protection hidden="1"/>
    </xf>
    <xf numFmtId="0" fontId="5" fillId="7" borderId="25" xfId="0" applyFont="1" applyFill="1" applyBorder="1" applyAlignment="1" applyProtection="1">
      <alignment vertical="center"/>
      <protection hidden="1"/>
    </xf>
    <xf numFmtId="0" fontId="0" fillId="7" borderId="27" xfId="0" applyFill="1" applyBorder="1" applyProtection="1">
      <protection hidden="1"/>
    </xf>
    <xf numFmtId="0" fontId="58" fillId="7" borderId="0" xfId="0" applyFont="1" applyFill="1" applyBorder="1" applyAlignment="1" applyProtection="1">
      <alignment horizontal="center" vertical="center"/>
      <protection hidden="1"/>
    </xf>
    <xf numFmtId="0" fontId="5" fillId="7" borderId="25" xfId="0" applyFont="1" applyFill="1" applyBorder="1" applyAlignment="1" applyProtection="1">
      <alignment horizontal="left" vertical="center"/>
      <protection hidden="1"/>
    </xf>
    <xf numFmtId="0" fontId="0" fillId="7" borderId="30" xfId="0" applyFill="1" applyBorder="1" applyProtection="1">
      <protection hidden="1"/>
    </xf>
    <xf numFmtId="0" fontId="5" fillId="0" borderId="0" xfId="0" applyFont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44" fillId="7" borderId="25" xfId="0" applyFont="1" applyFill="1" applyBorder="1" applyAlignment="1" applyProtection="1">
      <alignment horizontal="center" vertical="center"/>
      <protection hidden="1"/>
    </xf>
    <xf numFmtId="0" fontId="44" fillId="7" borderId="26" xfId="0" applyFont="1" applyFill="1" applyBorder="1" applyAlignment="1" applyProtection="1">
      <alignment horizontal="center" vertical="center"/>
      <protection hidden="1"/>
    </xf>
    <xf numFmtId="0" fontId="5" fillId="7" borderId="26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5" fillId="7" borderId="32" xfId="0" applyFont="1" applyFill="1" applyBorder="1" applyAlignment="1">
      <alignment vertical="center"/>
    </xf>
    <xf numFmtId="0" fontId="0" fillId="2" borderId="36" xfId="0" applyFill="1" applyBorder="1"/>
    <xf numFmtId="0" fontId="100" fillId="12" borderId="37" xfId="0" applyFont="1" applyFill="1" applyBorder="1" applyAlignment="1">
      <alignment horizontal="center" wrapText="1"/>
    </xf>
    <xf numFmtId="0" fontId="100" fillId="12" borderId="38" xfId="0" applyFont="1" applyFill="1" applyBorder="1" applyAlignment="1">
      <alignment horizontal="center" wrapText="1"/>
    </xf>
    <xf numFmtId="0" fontId="100" fillId="12" borderId="39" xfId="0" applyFont="1" applyFill="1" applyBorder="1" applyAlignment="1">
      <alignment horizontal="center" wrapText="1"/>
    </xf>
    <xf numFmtId="0" fontId="0" fillId="2" borderId="40" xfId="0" applyFill="1" applyBorder="1"/>
    <xf numFmtId="0" fontId="0" fillId="4" borderId="4" xfId="0" applyFill="1" applyBorder="1" applyAlignment="1">
      <alignment horizontal="center"/>
    </xf>
    <xf numFmtId="0" fontId="0" fillId="4" borderId="34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1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0" fontId="0" fillId="2" borderId="41" xfId="0" applyFill="1" applyBorder="1"/>
    <xf numFmtId="0" fontId="0" fillId="2" borderId="42" xfId="0" applyFill="1" applyBorder="1"/>
    <xf numFmtId="0" fontId="0" fillId="2" borderId="0" xfId="0" applyFill="1" applyBorder="1"/>
    <xf numFmtId="0" fontId="26" fillId="2" borderId="0" xfId="0" applyFont="1" applyFill="1" applyAlignment="1" applyProtection="1">
      <alignment horizontal="center" vertical="center"/>
      <protection hidden="1"/>
    </xf>
    <xf numFmtId="0" fontId="79" fillId="2" borderId="0" xfId="0" applyFont="1" applyFill="1" applyAlignment="1" applyProtection="1">
      <alignment horizontal="right" vertical="center"/>
      <protection hidden="1"/>
    </xf>
    <xf numFmtId="0" fontId="35" fillId="16" borderId="2" xfId="0" applyFont="1" applyFill="1" applyBorder="1" applyProtection="1">
      <protection hidden="1"/>
    </xf>
    <xf numFmtId="0" fontId="35" fillId="8" borderId="43" xfId="1" applyFont="1" applyFill="1" applyBorder="1" applyAlignment="1" applyProtection="1">
      <alignment horizontal="center" vertical="center"/>
    </xf>
    <xf numFmtId="16" fontId="35" fillId="8" borderId="4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  <protection hidden="1"/>
    </xf>
    <xf numFmtId="0" fontId="35" fillId="4" borderId="34" xfId="0" applyFont="1" applyFill="1" applyBorder="1" applyAlignment="1"/>
    <xf numFmtId="0" fontId="35" fillId="8" borderId="0" xfId="0" applyFont="1" applyFill="1" applyBorder="1" applyAlignment="1"/>
    <xf numFmtId="0" fontId="35" fillId="4" borderId="0" xfId="0" applyFont="1" applyFill="1" applyBorder="1" applyAlignment="1"/>
    <xf numFmtId="0" fontId="10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/>
    <xf numFmtId="0" fontId="1" fillId="4" borderId="0" xfId="0" applyFont="1" applyFill="1" applyBorder="1" applyAlignment="1">
      <alignment horizontal="left"/>
    </xf>
    <xf numFmtId="0" fontId="35" fillId="18" borderId="2" xfId="0" applyFont="1" applyFill="1" applyBorder="1" applyProtection="1">
      <protection hidden="1"/>
    </xf>
    <xf numFmtId="0" fontId="1" fillId="2" borderId="40" xfId="0" applyFont="1" applyFill="1" applyBorder="1"/>
    <xf numFmtId="0" fontId="1" fillId="2" borderId="36" xfId="0" applyFont="1" applyFill="1" applyBorder="1"/>
    <xf numFmtId="0" fontId="0" fillId="0" borderId="6" xfId="0" applyBorder="1" applyAlignment="1" applyProtection="1">
      <protection hidden="1"/>
    </xf>
    <xf numFmtId="0" fontId="0" fillId="0" borderId="44" xfId="0" applyBorder="1" applyAlignment="1" applyProtection="1">
      <protection hidden="1"/>
    </xf>
    <xf numFmtId="0" fontId="103" fillId="8" borderId="4" xfId="0" applyFont="1" applyFill="1" applyBorder="1" applyProtection="1">
      <protection hidden="1"/>
    </xf>
    <xf numFmtId="0" fontId="103" fillId="8" borderId="2" xfId="0" applyFont="1" applyFill="1" applyBorder="1" applyProtection="1">
      <protection hidden="1"/>
    </xf>
    <xf numFmtId="0" fontId="35" fillId="0" borderId="2" xfId="0" applyFont="1" applyFill="1" applyBorder="1" applyProtection="1">
      <protection hidden="1"/>
    </xf>
    <xf numFmtId="0" fontId="0" fillId="19" borderId="0" xfId="0" applyFill="1" applyProtection="1"/>
    <xf numFmtId="0" fontId="0" fillId="19" borderId="0" xfId="0" applyFill="1" applyAlignment="1" applyProtection="1">
      <alignment horizontal="center"/>
    </xf>
    <xf numFmtId="0" fontId="35" fillId="19" borderId="2" xfId="0" applyFont="1" applyFill="1" applyBorder="1" applyProtection="1">
      <protection hidden="1"/>
    </xf>
    <xf numFmtId="0" fontId="0" fillId="19" borderId="6" xfId="0" applyFill="1" applyBorder="1" applyAlignment="1" applyProtection="1">
      <protection hidden="1"/>
    </xf>
    <xf numFmtId="0" fontId="0" fillId="20" borderId="0" xfId="0" applyFill="1"/>
    <xf numFmtId="0" fontId="35" fillId="8" borderId="2" xfId="0" applyFont="1" applyFill="1" applyBorder="1" applyAlignment="1" applyProtection="1">
      <alignment horizontal="right"/>
      <protection hidden="1"/>
    </xf>
    <xf numFmtId="16" fontId="25" fillId="2" borderId="15" xfId="0" applyNumberFormat="1" applyFont="1" applyFill="1" applyBorder="1" applyAlignment="1" applyProtection="1">
      <alignment horizontal="center" vertical="center"/>
      <protection hidden="1"/>
    </xf>
    <xf numFmtId="0" fontId="1" fillId="8" borderId="0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35" fillId="4" borderId="8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0" fillId="4" borderId="3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17" borderId="0" xfId="0" applyFont="1" applyFill="1" applyBorder="1" applyAlignment="1" applyProtection="1">
      <alignment horizontal="center"/>
      <protection hidden="1"/>
    </xf>
    <xf numFmtId="0" fontId="1" fillId="17" borderId="10" xfId="0" applyFont="1" applyFill="1" applyBorder="1" applyAlignment="1" applyProtection="1">
      <alignment horizontal="center"/>
      <protection hidden="1"/>
    </xf>
    <xf numFmtId="0" fontId="1" fillId="18" borderId="0" xfId="0" applyFont="1" applyFill="1" applyBorder="1" applyAlignment="1" applyProtection="1">
      <alignment horizontal="center"/>
      <protection hidden="1"/>
    </xf>
    <xf numFmtId="0" fontId="1" fillId="18" borderId="10" xfId="0" applyFont="1" applyFill="1" applyBorder="1" applyAlignment="1" applyProtection="1">
      <alignment horizontal="center"/>
      <protection hidden="1"/>
    </xf>
    <xf numFmtId="0" fontId="1" fillId="16" borderId="0" xfId="0" applyFont="1" applyFill="1" applyBorder="1" applyAlignment="1" applyProtection="1">
      <alignment horizontal="center"/>
      <protection hidden="1"/>
    </xf>
    <xf numFmtId="0" fontId="1" fillId="16" borderId="10" xfId="0" applyFont="1" applyFill="1" applyBorder="1" applyAlignment="1" applyProtection="1">
      <alignment horizontal="center"/>
      <protection hidden="1"/>
    </xf>
    <xf numFmtId="0" fontId="91" fillId="0" borderId="45" xfId="0" applyFont="1" applyFill="1" applyBorder="1" applyAlignment="1" applyProtection="1">
      <alignment horizontal="center"/>
      <protection hidden="1"/>
    </xf>
    <xf numFmtId="0" fontId="91" fillId="0" borderId="46" xfId="0" applyFont="1" applyFill="1" applyBorder="1" applyAlignment="1" applyProtection="1">
      <alignment horizontal="center"/>
      <protection hidden="1"/>
    </xf>
    <xf numFmtId="0" fontId="91" fillId="0" borderId="47" xfId="0" applyFont="1" applyFill="1" applyBorder="1" applyAlignment="1" applyProtection="1">
      <alignment horizontal="center"/>
      <protection hidden="1"/>
    </xf>
    <xf numFmtId="0" fontId="92" fillId="0" borderId="25" xfId="0" applyFont="1" applyFill="1" applyBorder="1" applyAlignment="1" applyProtection="1">
      <alignment horizontal="center"/>
      <protection hidden="1"/>
    </xf>
    <xf numFmtId="0" fontId="93" fillId="0" borderId="0" xfId="0" applyFont="1" applyFill="1" applyAlignment="1" applyProtection="1">
      <alignment horizontal="center"/>
    </xf>
    <xf numFmtId="0" fontId="50" fillId="4" borderId="0" xfId="1" applyFont="1" applyFill="1" applyAlignment="1" applyProtection="1">
      <alignment horizontal="center"/>
    </xf>
    <xf numFmtId="0" fontId="72" fillId="0" borderId="48" xfId="0" applyFont="1" applyFill="1" applyBorder="1" applyAlignment="1" applyProtection="1">
      <alignment horizontal="center"/>
      <protection hidden="1"/>
    </xf>
    <xf numFmtId="0" fontId="1" fillId="8" borderId="34" xfId="0" applyFont="1" applyFill="1" applyBorder="1" applyAlignment="1" applyProtection="1">
      <alignment horizontal="center"/>
      <protection hidden="1"/>
    </xf>
    <xf numFmtId="0" fontId="52" fillId="4" borderId="0" xfId="0" applyFont="1" applyFill="1" applyAlignment="1" applyProtection="1">
      <alignment horizontal="center"/>
    </xf>
    <xf numFmtId="0" fontId="89" fillId="4" borderId="24" xfId="0" applyFont="1" applyFill="1" applyBorder="1" applyAlignment="1" applyProtection="1">
      <alignment horizontal="center" vertical="center" wrapText="1"/>
      <protection hidden="1"/>
    </xf>
    <xf numFmtId="0" fontId="89" fillId="4" borderId="25" xfId="0" applyFont="1" applyFill="1" applyBorder="1" applyAlignment="1" applyProtection="1">
      <alignment horizontal="center" vertical="center" wrapText="1"/>
      <protection hidden="1"/>
    </xf>
    <xf numFmtId="0" fontId="89" fillId="4" borderId="26" xfId="0" applyFont="1" applyFill="1" applyBorder="1" applyAlignment="1" applyProtection="1">
      <alignment horizontal="center" vertical="center" wrapText="1"/>
      <protection hidden="1"/>
    </xf>
    <xf numFmtId="0" fontId="89" fillId="4" borderId="27" xfId="0" applyFont="1" applyFill="1" applyBorder="1" applyAlignment="1" applyProtection="1">
      <alignment horizontal="center" vertical="center" wrapText="1"/>
      <protection hidden="1"/>
    </xf>
    <xf numFmtId="0" fontId="89" fillId="4" borderId="0" xfId="0" applyFont="1" applyFill="1" applyBorder="1" applyAlignment="1" applyProtection="1">
      <alignment horizontal="center" vertical="center" wrapText="1"/>
      <protection hidden="1"/>
    </xf>
    <xf numFmtId="0" fontId="89" fillId="4" borderId="9" xfId="0" applyFont="1" applyFill="1" applyBorder="1" applyAlignment="1" applyProtection="1">
      <alignment horizontal="center" vertical="center" wrapText="1"/>
      <protection hidden="1"/>
    </xf>
    <xf numFmtId="0" fontId="89" fillId="4" borderId="30" xfId="0" applyFont="1" applyFill="1" applyBorder="1" applyAlignment="1" applyProtection="1">
      <alignment horizontal="center" vertical="center" wrapText="1"/>
      <protection hidden="1"/>
    </xf>
    <xf numFmtId="0" fontId="89" fillId="4" borderId="31" xfId="0" applyFont="1" applyFill="1" applyBorder="1" applyAlignment="1" applyProtection="1">
      <alignment horizontal="center" vertical="center" wrapText="1"/>
      <protection hidden="1"/>
    </xf>
    <xf numFmtId="0" fontId="89" fillId="4" borderId="32" xfId="0" applyFont="1" applyFill="1" applyBorder="1" applyAlignment="1" applyProtection="1">
      <alignment horizontal="center" vertical="center" wrapText="1"/>
      <protection hidden="1"/>
    </xf>
    <xf numFmtId="0" fontId="51" fillId="4" borderId="0" xfId="1" applyFont="1" applyFill="1" applyAlignment="1" applyProtection="1">
      <alignment horizontal="center"/>
    </xf>
    <xf numFmtId="0" fontId="77" fillId="8" borderId="0" xfId="0" applyFont="1" applyFill="1" applyAlignment="1">
      <alignment vertical="top" wrapText="1"/>
    </xf>
    <xf numFmtId="0" fontId="0" fillId="8" borderId="0" xfId="0" applyFill="1" applyAlignment="1">
      <alignment vertical="top"/>
    </xf>
    <xf numFmtId="0" fontId="0" fillId="8" borderId="10" xfId="0" applyFill="1" applyBorder="1" applyAlignment="1">
      <alignment vertical="top"/>
    </xf>
    <xf numFmtId="0" fontId="35" fillId="13" borderId="6" xfId="0" applyFont="1" applyFill="1" applyBorder="1" applyAlignment="1" applyProtection="1">
      <alignment horizontal="center" vertical="center" textRotation="90"/>
      <protection hidden="1"/>
    </xf>
    <xf numFmtId="0" fontId="0" fillId="0" borderId="6" xfId="0" applyBorder="1" applyAlignment="1"/>
    <xf numFmtId="0" fontId="82" fillId="14" borderId="49" xfId="0" applyFont="1" applyFill="1" applyBorder="1" applyAlignment="1" applyProtection="1">
      <alignment horizontal="center"/>
      <protection hidden="1"/>
    </xf>
    <xf numFmtId="0" fontId="83" fillId="14" borderId="48" xfId="0" applyFont="1" applyFill="1" applyBorder="1" applyAlignment="1" applyProtection="1">
      <alignment horizontal="center"/>
      <protection hidden="1"/>
    </xf>
    <xf numFmtId="0" fontId="83" fillId="14" borderId="50" xfId="0" applyFont="1" applyFill="1" applyBorder="1" applyAlignment="1" applyProtection="1">
      <alignment horizontal="center"/>
      <protection hidden="1"/>
    </xf>
    <xf numFmtId="0" fontId="1" fillId="19" borderId="0" xfId="0" applyFont="1" applyFill="1" applyBorder="1" applyAlignment="1" applyProtection="1">
      <alignment horizontal="center"/>
      <protection hidden="1"/>
    </xf>
    <xf numFmtId="0" fontId="1" fillId="19" borderId="1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10" xfId="0" applyFont="1" applyFill="1" applyBorder="1" applyAlignment="1" applyProtection="1">
      <alignment horizontal="center"/>
      <protection hidden="1"/>
    </xf>
    <xf numFmtId="0" fontId="35" fillId="8" borderId="5" xfId="0" applyFont="1" applyFill="1" applyBorder="1" applyAlignment="1" applyProtection="1">
      <alignment horizontal="center" vertical="center" textRotation="90"/>
      <protection hidden="1"/>
    </xf>
    <xf numFmtId="0" fontId="0" fillId="8" borderId="6" xfId="0" applyFill="1" applyBorder="1" applyAlignment="1" applyProtection="1">
      <alignment horizontal="center" vertical="center" textRotation="90"/>
      <protection hidden="1"/>
    </xf>
    <xf numFmtId="0" fontId="76" fillId="5" borderId="6" xfId="1" applyFont="1" applyFill="1" applyBorder="1" applyAlignment="1" applyProtection="1">
      <alignment horizontal="center" vertical="center" textRotation="90"/>
      <protection hidden="1"/>
    </xf>
    <xf numFmtId="0" fontId="42" fillId="11" borderId="0" xfId="1" applyFont="1" applyFill="1" applyAlignment="1" applyProtection="1">
      <alignment horizontal="center"/>
    </xf>
    <xf numFmtId="0" fontId="97" fillId="11" borderId="0" xfId="0" applyFont="1" applyFill="1" applyAlignment="1">
      <alignment horizontal="center"/>
    </xf>
    <xf numFmtId="0" fontId="96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20" fontId="25" fillId="2" borderId="15" xfId="0" applyNumberFormat="1" applyFont="1" applyFill="1" applyBorder="1" applyAlignment="1" applyProtection="1">
      <alignment horizontal="center" vertical="center"/>
      <protection hidden="1"/>
    </xf>
    <xf numFmtId="16" fontId="25" fillId="2" borderId="15" xfId="0" applyNumberFormat="1" applyFont="1" applyFill="1" applyBorder="1" applyAlignment="1" applyProtection="1">
      <alignment horizontal="center" vertical="center"/>
      <protection hidden="1"/>
    </xf>
    <xf numFmtId="0" fontId="18" fillId="9" borderId="21" xfId="0" applyFont="1" applyFill="1" applyBorder="1" applyAlignment="1" applyProtection="1">
      <alignment horizontal="center"/>
      <protection hidden="1"/>
    </xf>
    <xf numFmtId="20" fontId="15" fillId="2" borderId="15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protection hidden="1"/>
    </xf>
    <xf numFmtId="0" fontId="48" fillId="0" borderId="0" xfId="0" applyFont="1" applyBorder="1" applyAlignment="1" applyProtection="1">
      <protection hidden="1"/>
    </xf>
    <xf numFmtId="0" fontId="42" fillId="15" borderId="49" xfId="1" applyFont="1" applyFill="1" applyBorder="1" applyAlignment="1" applyProtection="1">
      <alignment horizontal="center"/>
      <protection hidden="1"/>
    </xf>
    <xf numFmtId="0" fontId="42" fillId="15" borderId="50" xfId="1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0" fillId="0" borderId="18" xfId="0" applyBorder="1" applyAlignment="1">
      <alignment horizontal="center"/>
    </xf>
    <xf numFmtId="0" fontId="63" fillId="2" borderId="15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0" fillId="0" borderId="0" xfId="0" applyAlignment="1"/>
    <xf numFmtId="0" fontId="43" fillId="10" borderId="0" xfId="0" applyFont="1" applyFill="1" applyAlignment="1" applyProtection="1">
      <alignment horizontal="center" vertical="center"/>
      <protection hidden="1"/>
    </xf>
    <xf numFmtId="0" fontId="45" fillId="10" borderId="0" xfId="0" applyFont="1" applyFill="1" applyAlignment="1" applyProtection="1">
      <alignment horizontal="center" vertical="center"/>
      <protection hidden="1"/>
    </xf>
    <xf numFmtId="0" fontId="46" fillId="10" borderId="0" xfId="0" applyFont="1" applyFill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protection hidden="1"/>
    </xf>
    <xf numFmtId="0" fontId="48" fillId="0" borderId="21" xfId="0" applyFont="1" applyBorder="1" applyAlignment="1" applyProtection="1">
      <protection hidden="1"/>
    </xf>
    <xf numFmtId="0" fontId="48" fillId="0" borderId="0" xfId="0" applyFont="1" applyBorder="1" applyAlignment="1" applyProtection="1">
      <alignment horizontal="left"/>
      <protection hidden="1"/>
    </xf>
    <xf numFmtId="0" fontId="84" fillId="10" borderId="0" xfId="0" applyFont="1" applyFill="1" applyAlignment="1">
      <alignment horizontal="left" vertical="center"/>
    </xf>
    <xf numFmtId="0" fontId="0" fillId="10" borderId="0" xfId="0" applyFill="1"/>
    <xf numFmtId="0" fontId="47" fillId="9" borderId="21" xfId="0" applyFont="1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15" fillId="9" borderId="21" xfId="0" applyFont="1" applyFill="1" applyBorder="1" applyAlignment="1" applyProtection="1">
      <alignment horizontal="left"/>
      <protection hidden="1"/>
    </xf>
    <xf numFmtId="0" fontId="42" fillId="15" borderId="49" xfId="1" applyFont="1" applyFill="1" applyBorder="1" applyAlignment="1" applyProtection="1">
      <alignment horizontal="center" vertical="center"/>
      <protection hidden="1"/>
    </xf>
    <xf numFmtId="0" fontId="4" fillId="15" borderId="48" xfId="0" applyFont="1" applyFill="1" applyBorder="1" applyAlignment="1">
      <alignment horizontal="center" vertical="center"/>
    </xf>
    <xf numFmtId="0" fontId="4" fillId="15" borderId="50" xfId="0" applyFont="1" applyFill="1" applyBorder="1" applyAlignment="1">
      <alignment horizontal="center" vertical="center"/>
    </xf>
    <xf numFmtId="0" fontId="88" fillId="2" borderId="0" xfId="0" applyFont="1" applyFill="1" applyAlignment="1" applyProtection="1">
      <alignment horizontal="center" vertical="center"/>
      <protection hidden="1"/>
    </xf>
    <xf numFmtId="0" fontId="88" fillId="0" borderId="0" xfId="0" applyFont="1" applyAlignment="1">
      <alignment vertical="center"/>
    </xf>
    <xf numFmtId="0" fontId="88" fillId="2" borderId="15" xfId="0" applyFont="1" applyFill="1" applyBorder="1" applyAlignment="1" applyProtection="1">
      <alignment vertical="center"/>
      <protection hidden="1"/>
    </xf>
    <xf numFmtId="0" fontId="88" fillId="2" borderId="12" xfId="0" applyFont="1" applyFill="1" applyBorder="1" applyAlignment="1" applyProtection="1">
      <alignment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50" xfId="0" applyBorder="1" applyAlignment="1">
      <alignment horizontal="center" vertical="center"/>
    </xf>
    <xf numFmtId="0" fontId="80" fillId="3" borderId="51" xfId="0" applyFont="1" applyFill="1" applyBorder="1" applyAlignment="1" applyProtection="1">
      <alignment horizontal="center" vertical="center"/>
      <protection hidden="1"/>
    </xf>
    <xf numFmtId="0" fontId="81" fillId="0" borderId="0" xfId="0" applyFont="1" applyBorder="1" applyAlignment="1" applyProtection="1">
      <protection hidden="1"/>
    </xf>
    <xf numFmtId="0" fontId="0" fillId="0" borderId="9" xfId="0" applyBorder="1" applyAlignment="1"/>
    <xf numFmtId="0" fontId="37" fillId="2" borderId="0" xfId="0" applyFont="1" applyFill="1" applyBorder="1" applyAlignment="1" applyProtection="1">
      <alignment horizontal="center" vertical="center"/>
      <protection hidden="1"/>
    </xf>
    <xf numFmtId="0" fontId="47" fillId="9" borderId="21" xfId="0" applyFont="1" applyFill="1" applyBorder="1" applyAlignment="1" applyProtection="1">
      <alignment horizontal="center" vertical="center"/>
      <protection hidden="1"/>
    </xf>
    <xf numFmtId="0" fontId="15" fillId="9" borderId="21" xfId="0" applyFont="1" applyFill="1" applyBorder="1" applyAlignment="1" applyProtection="1">
      <alignment horizontal="left" vertical="center"/>
      <protection hidden="1"/>
    </xf>
    <xf numFmtId="0" fontId="48" fillId="9" borderId="21" xfId="0" applyFont="1" applyFill="1" applyBorder="1" applyAlignment="1" applyProtection="1">
      <alignment horizontal="center"/>
      <protection hidden="1"/>
    </xf>
    <xf numFmtId="0" fontId="19" fillId="9" borderId="21" xfId="0" applyFont="1" applyFill="1" applyBorder="1" applyAlignment="1" applyProtection="1">
      <alignment horizontal="left"/>
      <protection hidden="1"/>
    </xf>
    <xf numFmtId="0" fontId="98" fillId="2" borderId="15" xfId="0" applyFont="1" applyFill="1" applyBorder="1" applyAlignment="1" applyProtection="1">
      <alignment vertical="center"/>
      <protection hidden="1"/>
    </xf>
    <xf numFmtId="0" fontId="98" fillId="2" borderId="12" xfId="0" applyFont="1" applyFill="1" applyBorder="1" applyAlignment="1" applyProtection="1">
      <alignment vertical="center"/>
      <protection hidden="1"/>
    </xf>
    <xf numFmtId="0" fontId="88" fillId="2" borderId="15" xfId="0" applyFont="1" applyFill="1" applyBorder="1" applyAlignment="1" applyProtection="1">
      <protection hidden="1"/>
    </xf>
    <xf numFmtId="0" fontId="88" fillId="2" borderId="12" xfId="0" applyFont="1" applyFill="1" applyBorder="1" applyAlignment="1" applyProtection="1">
      <protection hidden="1"/>
    </xf>
    <xf numFmtId="0" fontId="73" fillId="2" borderId="27" xfId="0" applyFont="1" applyFill="1" applyBorder="1" applyAlignment="1" applyProtection="1">
      <alignment horizontal="center" vertical="center"/>
      <protection hidden="1"/>
    </xf>
    <xf numFmtId="0" fontId="73" fillId="0" borderId="0" xfId="0" applyFont="1" applyBorder="1" applyAlignment="1" applyProtection="1">
      <alignment horizontal="center" vertical="center"/>
      <protection hidden="1"/>
    </xf>
    <xf numFmtId="0" fontId="73" fillId="0" borderId="9" xfId="0" applyFont="1" applyBorder="1" applyAlignment="1" applyProtection="1">
      <alignment horizontal="center" vertical="center"/>
      <protection hidden="1"/>
    </xf>
    <xf numFmtId="0" fontId="73" fillId="0" borderId="27" xfId="0" applyFont="1" applyBorder="1" applyAlignment="1" applyProtection="1">
      <alignment horizontal="center" vertical="center"/>
      <protection hidden="1"/>
    </xf>
    <xf numFmtId="0" fontId="73" fillId="0" borderId="30" xfId="0" applyFont="1" applyBorder="1" applyAlignment="1" applyProtection="1">
      <alignment horizontal="center" vertical="center"/>
      <protection hidden="1"/>
    </xf>
    <xf numFmtId="0" fontId="73" fillId="0" borderId="31" xfId="0" applyFont="1" applyBorder="1" applyAlignment="1" applyProtection="1">
      <alignment horizontal="center" vertical="center"/>
      <protection hidden="1"/>
    </xf>
    <xf numFmtId="0" fontId="73" fillId="0" borderId="32" xfId="0" applyFont="1" applyBorder="1" applyAlignment="1" applyProtection="1">
      <alignment horizontal="center" vertical="center"/>
      <protection hidden="1"/>
    </xf>
    <xf numFmtId="0" fontId="74" fillId="2" borderId="25" xfId="0" applyFont="1" applyFill="1" applyBorder="1" applyAlignment="1" applyProtection="1">
      <alignment horizontal="right" vertical="center"/>
      <protection hidden="1"/>
    </xf>
    <xf numFmtId="0" fontId="75" fillId="0" borderId="0" xfId="0" applyFont="1" applyBorder="1" applyAlignment="1" applyProtection="1">
      <alignment horizontal="right" vertical="center"/>
      <protection hidden="1"/>
    </xf>
    <xf numFmtId="0" fontId="88" fillId="2" borderId="21" xfId="0" applyFont="1" applyFill="1" applyBorder="1" applyAlignment="1" applyProtection="1">
      <alignment horizontal="left"/>
      <protection hidden="1"/>
    </xf>
    <xf numFmtId="0" fontId="88" fillId="2" borderId="52" xfId="0" applyFont="1" applyFill="1" applyBorder="1" applyAlignment="1" applyProtection="1">
      <alignment horizontal="left"/>
      <protection hidden="1"/>
    </xf>
    <xf numFmtId="0" fontId="0" fillId="0" borderId="18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7" borderId="27" xfId="0" applyFont="1" applyFill="1" applyBorder="1" applyAlignment="1" applyProtection="1">
      <alignment horizontal="right" vertical="center"/>
      <protection hidden="1"/>
    </xf>
    <xf numFmtId="0" fontId="0" fillId="7" borderId="0" xfId="0" applyFill="1" applyBorder="1" applyAlignment="1">
      <alignment horizontal="right"/>
    </xf>
    <xf numFmtId="0" fontId="0" fillId="7" borderId="61" xfId="0" applyFill="1" applyBorder="1" applyAlignment="1">
      <alignment horizontal="right"/>
    </xf>
    <xf numFmtId="0" fontId="10" fillId="7" borderId="62" xfId="0" applyFont="1" applyFill="1" applyBorder="1" applyAlignment="1" applyProtection="1">
      <alignment horizontal="left" vertical="center"/>
      <protection hidden="1"/>
    </xf>
    <xf numFmtId="0" fontId="10" fillId="7" borderId="63" xfId="0" applyFont="1" applyFill="1" applyBorder="1" applyAlignment="1" applyProtection="1">
      <alignment horizontal="left" vertical="center"/>
      <protection hidden="1"/>
    </xf>
    <xf numFmtId="0" fontId="10" fillId="7" borderId="64" xfId="0" applyFont="1" applyFill="1" applyBorder="1" applyAlignment="1" applyProtection="1">
      <alignment horizontal="left" vertical="center"/>
      <protection hidden="1"/>
    </xf>
    <xf numFmtId="0" fontId="0" fillId="7" borderId="27" xfId="0" applyFill="1" applyBorder="1" applyAlignment="1">
      <alignment horizontal="right"/>
    </xf>
    <xf numFmtId="0" fontId="5" fillId="7" borderId="53" xfId="0" applyFont="1" applyFill="1" applyBorder="1" applyAlignment="1" applyProtection="1">
      <alignment horizontal="center" vertical="center"/>
      <protection hidden="1"/>
    </xf>
    <xf numFmtId="0" fontId="5" fillId="7" borderId="54" xfId="0" applyFont="1" applyFill="1" applyBorder="1" applyAlignment="1" applyProtection="1">
      <alignment horizontal="center" vertical="center"/>
      <protection hidden="1"/>
    </xf>
    <xf numFmtId="0" fontId="69" fillId="4" borderId="0" xfId="0" applyFont="1" applyFill="1" applyAlignment="1" applyProtection="1">
      <alignment horizontal="center"/>
    </xf>
    <xf numFmtId="0" fontId="70" fillId="4" borderId="0" xfId="0" applyFont="1" applyFill="1" applyAlignment="1" applyProtection="1">
      <alignment horizontal="center"/>
    </xf>
    <xf numFmtId="0" fontId="71" fillId="4" borderId="0" xfId="0" applyFont="1" applyFill="1" applyAlignment="1" applyProtection="1">
      <alignment horizontal="center" vertical="center"/>
    </xf>
    <xf numFmtId="0" fontId="5" fillId="7" borderId="29" xfId="0" applyFont="1" applyFill="1" applyBorder="1" applyAlignment="1" applyProtection="1">
      <alignment horizontal="center" vertical="center"/>
      <protection hidden="1"/>
    </xf>
    <xf numFmtId="0" fontId="5" fillId="7" borderId="65" xfId="0" applyFont="1" applyFill="1" applyBorder="1" applyAlignment="1" applyProtection="1">
      <alignment horizontal="center" vertical="center"/>
      <protection hidden="1"/>
    </xf>
    <xf numFmtId="0" fontId="5" fillId="7" borderId="66" xfId="0" applyFont="1" applyFill="1" applyBorder="1" applyAlignment="1" applyProtection="1">
      <alignment horizontal="center" vertical="center"/>
      <protection hidden="1"/>
    </xf>
    <xf numFmtId="0" fontId="42" fillId="15" borderId="4" xfId="1" applyFont="1" applyFill="1" applyBorder="1" applyAlignment="1" applyProtection="1">
      <alignment horizontal="center" vertical="center"/>
      <protection hidden="1"/>
    </xf>
    <xf numFmtId="0" fontId="42" fillId="15" borderId="34" xfId="1" applyFont="1" applyFill="1" applyBorder="1" applyAlignment="1" applyProtection="1">
      <alignment horizontal="center" vertical="center"/>
      <protection hidden="1"/>
    </xf>
    <xf numFmtId="0" fontId="42" fillId="15" borderId="3" xfId="1" applyFont="1" applyFill="1" applyBorder="1" applyAlignment="1" applyProtection="1">
      <alignment horizontal="center" vertical="center"/>
      <protection hidden="1"/>
    </xf>
    <xf numFmtId="0" fontId="42" fillId="15" borderId="7" xfId="1" applyFont="1" applyFill="1" applyBorder="1" applyAlignment="1" applyProtection="1">
      <alignment horizontal="center" vertical="center"/>
      <protection hidden="1"/>
    </xf>
    <xf numFmtId="0" fontId="42" fillId="15" borderId="8" xfId="1" applyFont="1" applyFill="1" applyBorder="1" applyAlignment="1" applyProtection="1">
      <alignment horizontal="center" vertical="center"/>
      <protection hidden="1"/>
    </xf>
    <xf numFmtId="0" fontId="42" fillId="15" borderId="35" xfId="1" applyFont="1" applyFill="1" applyBorder="1" applyAlignment="1" applyProtection="1">
      <alignment horizontal="center" vertical="center"/>
      <protection hidden="1"/>
    </xf>
    <xf numFmtId="0" fontId="59" fillId="7" borderId="55" xfId="0" applyFont="1" applyFill="1" applyBorder="1" applyAlignment="1" applyProtection="1">
      <alignment horizontal="center" vertical="distributed"/>
      <protection hidden="1"/>
    </xf>
    <xf numFmtId="0" fontId="59" fillId="7" borderId="56" xfId="0" applyFont="1" applyFill="1" applyBorder="1" applyAlignment="1" applyProtection="1">
      <alignment horizontal="center" vertical="distributed"/>
      <protection hidden="1"/>
    </xf>
    <xf numFmtId="0" fontId="0" fillId="7" borderId="56" xfId="0" applyFill="1" applyBorder="1" applyAlignment="1"/>
    <xf numFmtId="0" fontId="0" fillId="7" borderId="57" xfId="0" applyFill="1" applyBorder="1" applyAlignment="1"/>
    <xf numFmtId="0" fontId="0" fillId="7" borderId="58" xfId="0" applyFill="1" applyBorder="1" applyAlignment="1" applyProtection="1">
      <alignment horizontal="center" vertical="distributed"/>
      <protection hidden="1"/>
    </xf>
    <xf numFmtId="0" fontId="0" fillId="7" borderId="59" xfId="0" applyFill="1" applyBorder="1" applyAlignment="1" applyProtection="1">
      <alignment horizontal="center" vertical="distributed"/>
      <protection hidden="1"/>
    </xf>
    <xf numFmtId="0" fontId="0" fillId="7" borderId="59" xfId="0" applyFill="1" applyBorder="1" applyAlignment="1"/>
    <xf numFmtId="0" fontId="0" fillId="7" borderId="60" xfId="0" applyFill="1" applyBorder="1" applyAlignment="1"/>
    <xf numFmtId="0" fontId="78" fillId="7" borderId="67" xfId="0" applyFont="1" applyFill="1" applyBorder="1" applyAlignment="1" applyProtection="1">
      <alignment horizontal="center" vertical="center"/>
      <protection hidden="1"/>
    </xf>
    <xf numFmtId="0" fontId="78" fillId="7" borderId="28" xfId="0" applyFont="1" applyFill="1" applyBorder="1" applyAlignment="1" applyProtection="1">
      <alignment vertical="center"/>
      <protection hidden="1"/>
    </xf>
    <xf numFmtId="0" fontId="0" fillId="7" borderId="28" xfId="0" applyFill="1" applyBorder="1" applyAlignment="1">
      <alignment vertical="center"/>
    </xf>
    <xf numFmtId="0" fontId="78" fillId="7" borderId="68" xfId="0" applyFont="1" applyFill="1" applyBorder="1" applyAlignment="1" applyProtection="1">
      <alignment vertical="center"/>
      <protection hidden="1"/>
    </xf>
    <xf numFmtId="0" fontId="78" fillId="7" borderId="0" xfId="0" applyFont="1" applyFill="1" applyBorder="1" applyAlignment="1" applyProtection="1">
      <alignment vertical="center"/>
      <protection hidden="1"/>
    </xf>
    <xf numFmtId="0" fontId="0" fillId="7" borderId="0" xfId="0" applyFill="1" applyBorder="1" applyAlignment="1">
      <alignment vertical="center"/>
    </xf>
    <xf numFmtId="0" fontId="78" fillId="7" borderId="69" xfId="0" applyFont="1" applyFill="1" applyBorder="1" applyAlignment="1" applyProtection="1">
      <alignment vertical="center"/>
      <protection hidden="1"/>
    </xf>
    <xf numFmtId="0" fontId="78" fillId="7" borderId="70" xfId="0" applyFont="1" applyFill="1" applyBorder="1" applyAlignment="1" applyProtection="1">
      <alignment vertical="center"/>
      <protection hidden="1"/>
    </xf>
    <xf numFmtId="0" fontId="0" fillId="7" borderId="70" xfId="0" applyFill="1" applyBorder="1" applyAlignment="1">
      <alignment vertical="center"/>
    </xf>
    <xf numFmtId="0" fontId="87" fillId="7" borderId="71" xfId="0" applyFont="1" applyFill="1" applyBorder="1" applyAlignment="1" applyProtection="1">
      <alignment vertical="center"/>
      <protection hidden="1"/>
    </xf>
    <xf numFmtId="0" fontId="0" fillId="7" borderId="61" xfId="0" applyFill="1" applyBorder="1" applyAlignment="1">
      <alignment vertical="center"/>
    </xf>
    <xf numFmtId="0" fontId="0" fillId="7" borderId="72" xfId="0" applyFill="1" applyBorder="1" applyAlignment="1">
      <alignment vertical="center"/>
    </xf>
    <xf numFmtId="0" fontId="5" fillId="7" borderId="68" xfId="0" applyFont="1" applyFill="1" applyBorder="1" applyAlignment="1" applyProtection="1">
      <alignment horizontal="center" vertical="center"/>
      <protection hidden="1"/>
    </xf>
    <xf numFmtId="0" fontId="0" fillId="7" borderId="0" xfId="0" applyFill="1" applyBorder="1" applyProtection="1">
      <protection hidden="1"/>
    </xf>
    <xf numFmtId="0" fontId="0" fillId="7" borderId="68" xfId="0" applyFill="1" applyBorder="1" applyProtection="1">
      <protection hidden="1"/>
    </xf>
    <xf numFmtId="0" fontId="10" fillId="7" borderId="55" xfId="0" applyFont="1" applyFill="1" applyBorder="1" applyAlignment="1" applyProtection="1">
      <alignment horizontal="left" vertical="center"/>
      <protection hidden="1"/>
    </xf>
    <xf numFmtId="0" fontId="10" fillId="7" borderId="56" xfId="0" applyFont="1" applyFill="1" applyBorder="1" applyAlignment="1" applyProtection="1">
      <alignment horizontal="left" vertical="center"/>
      <protection hidden="1"/>
    </xf>
    <xf numFmtId="0" fontId="10" fillId="7" borderId="57" xfId="0" applyFont="1" applyFill="1" applyBorder="1" applyAlignment="1" applyProtection="1">
      <alignment horizontal="left" vertical="center"/>
      <protection hidden="1"/>
    </xf>
    <xf numFmtId="0" fontId="10" fillId="7" borderId="58" xfId="0" applyFont="1" applyFill="1" applyBorder="1" applyAlignment="1" applyProtection="1">
      <alignment horizontal="left" vertical="center"/>
      <protection hidden="1"/>
    </xf>
    <xf numFmtId="0" fontId="10" fillId="7" borderId="59" xfId="0" applyFont="1" applyFill="1" applyBorder="1" applyAlignment="1" applyProtection="1">
      <alignment horizontal="left" vertical="center"/>
      <protection hidden="1"/>
    </xf>
    <xf numFmtId="0" fontId="10" fillId="7" borderId="60" xfId="0" applyFont="1" applyFill="1" applyBorder="1" applyAlignment="1" applyProtection="1">
      <alignment horizontal="left" vertical="center"/>
      <protection hidden="1"/>
    </xf>
    <xf numFmtId="0" fontId="78" fillId="0" borderId="49" xfId="0" applyFont="1" applyBorder="1" applyAlignment="1">
      <alignment horizontal="center"/>
    </xf>
    <xf numFmtId="0" fontId="78" fillId="0" borderId="48" xfId="0" applyFont="1" applyBorder="1" applyAlignment="1">
      <alignment horizontal="center"/>
    </xf>
    <xf numFmtId="0" fontId="78" fillId="0" borderId="5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7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5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6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CCFFFF"/>
      <color rgb="FF993300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es.wikipedia.org/wiki/Archivo:Flag_of_El_Rubio_Spain.svg" TargetMode="External"/><Relationship Id="rId13" Type="http://schemas.openxmlformats.org/officeDocument/2006/relationships/hyperlink" Target="http://es.wikipedia.org/wiki/Archivo:Escudo_de_El_Rubio.svg" TargetMode="External"/><Relationship Id="rId18" Type="http://schemas.openxmlformats.org/officeDocument/2006/relationships/image" Target="../media/image24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0.png"/><Relationship Id="rId17" Type="http://schemas.openxmlformats.org/officeDocument/2006/relationships/image" Target="../media/image23.png"/><Relationship Id="rId2" Type="http://schemas.openxmlformats.org/officeDocument/2006/relationships/image" Target="../media/image3.png"/><Relationship Id="rId16" Type="http://schemas.openxmlformats.org/officeDocument/2006/relationships/hyperlink" Target="http://es.wikipedia.org/wiki/Archivo:Escudo_de_Linares.svg" TargetMode="External"/><Relationship Id="rId1" Type="http://schemas.openxmlformats.org/officeDocument/2006/relationships/image" Target="../media/image12.jpeg"/><Relationship Id="rId6" Type="http://schemas.openxmlformats.org/officeDocument/2006/relationships/image" Target="../media/image16.png"/><Relationship Id="rId11" Type="http://schemas.openxmlformats.org/officeDocument/2006/relationships/image" Target="../media/image19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hyperlink" Target="http://es.wikipedia.org/wiki/Archivo:Bandera_de_Linares.svg" TargetMode="External"/><Relationship Id="rId4" Type="http://schemas.openxmlformats.org/officeDocument/2006/relationships/image" Target="../media/image14.png"/><Relationship Id="rId9" Type="http://schemas.openxmlformats.org/officeDocument/2006/relationships/image" Target="../media/image18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15.png"/><Relationship Id="rId3" Type="http://schemas.openxmlformats.org/officeDocument/2006/relationships/image" Target="../media/image13.png"/><Relationship Id="rId7" Type="http://schemas.openxmlformats.org/officeDocument/2006/relationships/image" Target="../media/image25.png"/><Relationship Id="rId12" Type="http://schemas.openxmlformats.org/officeDocument/2006/relationships/image" Target="../media/image14.png"/><Relationship Id="rId2" Type="http://schemas.openxmlformats.org/officeDocument/2006/relationships/image" Target="../media/image3.png"/><Relationship Id="rId1" Type="http://schemas.openxmlformats.org/officeDocument/2006/relationships/image" Target="../media/image12.jpeg"/><Relationship Id="rId6" Type="http://schemas.openxmlformats.org/officeDocument/2006/relationships/image" Target="../media/image16.png"/><Relationship Id="rId11" Type="http://schemas.openxmlformats.org/officeDocument/2006/relationships/image" Target="../media/image17.png"/><Relationship Id="rId5" Type="http://schemas.openxmlformats.org/officeDocument/2006/relationships/image" Target="../media/image19.png"/><Relationship Id="rId10" Type="http://schemas.openxmlformats.org/officeDocument/2006/relationships/image" Target="../media/image23.png"/><Relationship Id="rId4" Type="http://schemas.openxmlformats.org/officeDocument/2006/relationships/hyperlink" Target="http://es.wikipedia.org/wiki/Archivo:Bandera_de_Linares.svg" TargetMode="External"/><Relationship Id="rId9" Type="http://schemas.openxmlformats.org/officeDocument/2006/relationships/hyperlink" Target="http://es.wikipedia.org/wiki/Archivo:Escudo_de_Linares.svg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e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12.jpeg"/><Relationship Id="rId1" Type="http://schemas.openxmlformats.org/officeDocument/2006/relationships/image" Target="../media/image3.png"/><Relationship Id="rId6" Type="http://schemas.openxmlformats.org/officeDocument/2006/relationships/image" Target="../media/image29.jpeg"/><Relationship Id="rId5" Type="http://schemas.openxmlformats.org/officeDocument/2006/relationships/image" Target="../media/image28.jpeg"/><Relationship Id="rId4" Type="http://schemas.openxmlformats.org/officeDocument/2006/relationships/image" Target="../media/image27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3.png"/><Relationship Id="rId7" Type="http://schemas.openxmlformats.org/officeDocument/2006/relationships/image" Target="../media/image22.png"/><Relationship Id="rId2" Type="http://schemas.openxmlformats.org/officeDocument/2006/relationships/image" Target="../media/image32.png"/><Relationship Id="rId1" Type="http://schemas.openxmlformats.org/officeDocument/2006/relationships/image" Target="../media/image12.jpeg"/><Relationship Id="rId6" Type="http://schemas.openxmlformats.org/officeDocument/2006/relationships/hyperlink" Target="http://es.wikipedia.org/wiki/Archivo:Bandera_de_Linares.svg" TargetMode="External"/><Relationship Id="rId5" Type="http://schemas.openxmlformats.org/officeDocument/2006/relationships/image" Target="../media/image34.jpeg"/><Relationship Id="rId10" Type="http://schemas.openxmlformats.org/officeDocument/2006/relationships/image" Target="../media/image30.png"/><Relationship Id="rId4" Type="http://schemas.openxmlformats.org/officeDocument/2006/relationships/image" Target="../media/image33.jpeg"/><Relationship Id="rId9" Type="http://schemas.openxmlformats.org/officeDocument/2006/relationships/image" Target="../media/image28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6.jpeg"/><Relationship Id="rId1" Type="http://schemas.openxmlformats.org/officeDocument/2006/relationships/image" Target="../media/image35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hyperlink" Target="http://es.wikipedia.org/wiki/Archivo:Escudo_de_El_Rubio.svg" TargetMode="External"/><Relationship Id="rId18" Type="http://schemas.openxmlformats.org/officeDocument/2006/relationships/image" Target="../media/image45.jpeg"/><Relationship Id="rId26" Type="http://schemas.openxmlformats.org/officeDocument/2006/relationships/image" Target="../media/image52.jpeg"/><Relationship Id="rId21" Type="http://schemas.openxmlformats.org/officeDocument/2006/relationships/image" Target="../media/image48.png"/><Relationship Id="rId34" Type="http://schemas.openxmlformats.org/officeDocument/2006/relationships/image" Target="../media/image26.png"/><Relationship Id="rId7" Type="http://schemas.openxmlformats.org/officeDocument/2006/relationships/hyperlink" Target="http://es.wikipedia.org/wiki/Archivo:Flag_of_And%C3%BAjar_Spain.svg" TargetMode="External"/><Relationship Id="rId12" Type="http://schemas.openxmlformats.org/officeDocument/2006/relationships/image" Target="../media/image20.png"/><Relationship Id="rId17" Type="http://schemas.openxmlformats.org/officeDocument/2006/relationships/image" Target="../media/image44.jpeg"/><Relationship Id="rId25" Type="http://schemas.openxmlformats.org/officeDocument/2006/relationships/image" Target="../media/image27.jpeg"/><Relationship Id="rId33" Type="http://schemas.openxmlformats.org/officeDocument/2006/relationships/image" Target="../media/image30.png"/><Relationship Id="rId2" Type="http://schemas.openxmlformats.org/officeDocument/2006/relationships/image" Target="../media/image39.png"/><Relationship Id="rId16" Type="http://schemas.openxmlformats.org/officeDocument/2006/relationships/image" Target="../media/image43.jpeg"/><Relationship Id="rId20" Type="http://schemas.openxmlformats.org/officeDocument/2006/relationships/image" Target="../media/image47.jpeg"/><Relationship Id="rId29" Type="http://schemas.openxmlformats.org/officeDocument/2006/relationships/image" Target="../media/image15.png"/><Relationship Id="rId1" Type="http://schemas.openxmlformats.org/officeDocument/2006/relationships/image" Target="../media/image38.png"/><Relationship Id="rId6" Type="http://schemas.openxmlformats.org/officeDocument/2006/relationships/image" Target="../media/image23.png"/><Relationship Id="rId11" Type="http://schemas.openxmlformats.org/officeDocument/2006/relationships/hyperlink" Target="http://es.wikipedia.org/wiki/Archivo:Flag_of_El_Rubio_Spain.svg" TargetMode="External"/><Relationship Id="rId24" Type="http://schemas.openxmlformats.org/officeDocument/2006/relationships/image" Target="../media/image51.jpeg"/><Relationship Id="rId32" Type="http://schemas.openxmlformats.org/officeDocument/2006/relationships/image" Target="../media/image56.png"/><Relationship Id="rId37" Type="http://schemas.openxmlformats.org/officeDocument/2006/relationships/image" Target="../media/image59.png"/><Relationship Id="rId5" Type="http://schemas.openxmlformats.org/officeDocument/2006/relationships/hyperlink" Target="http://es.wikipedia.org/wiki/Archivo:Escudo_de_Linares.svg" TargetMode="External"/><Relationship Id="rId15" Type="http://schemas.openxmlformats.org/officeDocument/2006/relationships/image" Target="../media/image42.jpeg"/><Relationship Id="rId23" Type="http://schemas.openxmlformats.org/officeDocument/2006/relationships/image" Target="../media/image50.png"/><Relationship Id="rId28" Type="http://schemas.openxmlformats.org/officeDocument/2006/relationships/image" Target="../media/image54.png"/><Relationship Id="rId36" Type="http://schemas.openxmlformats.org/officeDocument/2006/relationships/image" Target="../media/image58.png"/><Relationship Id="rId10" Type="http://schemas.openxmlformats.org/officeDocument/2006/relationships/image" Target="../media/image41.png"/><Relationship Id="rId19" Type="http://schemas.openxmlformats.org/officeDocument/2006/relationships/image" Target="../media/image46.jpeg"/><Relationship Id="rId31" Type="http://schemas.openxmlformats.org/officeDocument/2006/relationships/image" Target="../media/image55.png"/><Relationship Id="rId4" Type="http://schemas.openxmlformats.org/officeDocument/2006/relationships/image" Target="../media/image22.png"/><Relationship Id="rId9" Type="http://schemas.openxmlformats.org/officeDocument/2006/relationships/hyperlink" Target="http://es.wikipedia.org/wiki/Archivo:Escudo_de_And%C3%BAjar.svg" TargetMode="External"/><Relationship Id="rId14" Type="http://schemas.openxmlformats.org/officeDocument/2006/relationships/image" Target="../media/image21.png"/><Relationship Id="rId22" Type="http://schemas.openxmlformats.org/officeDocument/2006/relationships/image" Target="../media/image49.png"/><Relationship Id="rId27" Type="http://schemas.openxmlformats.org/officeDocument/2006/relationships/image" Target="../media/image53.png"/><Relationship Id="rId30" Type="http://schemas.openxmlformats.org/officeDocument/2006/relationships/image" Target="../media/image14.png"/><Relationship Id="rId35" Type="http://schemas.openxmlformats.org/officeDocument/2006/relationships/image" Target="../media/image57.png"/><Relationship Id="rId8" Type="http://schemas.openxmlformats.org/officeDocument/2006/relationships/image" Target="../media/image40.png"/><Relationship Id="rId3" Type="http://schemas.openxmlformats.org/officeDocument/2006/relationships/hyperlink" Target="http://es.wikipedia.org/wiki/Archivo:Bandera_de_Linares.sv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19</xdr:row>
      <xdr:rowOff>66675</xdr:rowOff>
    </xdr:from>
    <xdr:to>
      <xdr:col>3</xdr:col>
      <xdr:colOff>314325</xdr:colOff>
      <xdr:row>25</xdr:row>
      <xdr:rowOff>123825</xdr:rowOff>
    </xdr:to>
    <xdr:pic>
      <xdr:nvPicPr>
        <xdr:cNvPr id="187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1" t="6216" r="4761" b="6216"/>
        <a:stretch>
          <a:fillRect/>
        </a:stretch>
      </xdr:blipFill>
      <xdr:spPr bwMode="auto">
        <a:xfrm>
          <a:off x="1285875" y="3990975"/>
          <a:ext cx="13335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257175</xdr:rowOff>
    </xdr:from>
    <xdr:to>
      <xdr:col>8</xdr:col>
      <xdr:colOff>504825</xdr:colOff>
      <xdr:row>17</xdr:row>
      <xdr:rowOff>152400</xdr:rowOff>
    </xdr:to>
    <xdr:pic>
      <xdr:nvPicPr>
        <xdr:cNvPr id="1878" name="8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53125" cy="332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429970</xdr:colOff>
      <xdr:row>11</xdr:row>
      <xdr:rowOff>21167</xdr:rowOff>
    </xdr:from>
    <xdr:to>
      <xdr:col>8</xdr:col>
      <xdr:colOff>3755</xdr:colOff>
      <xdr:row>23</xdr:row>
      <xdr:rowOff>74096</xdr:rowOff>
    </xdr:to>
    <xdr:pic>
      <xdr:nvPicPr>
        <xdr:cNvPr id="1881" name="Picture 39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7137" y="2455334"/>
          <a:ext cx="2717035" cy="2190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169350</xdr:colOff>
      <xdr:row>15</xdr:row>
      <xdr:rowOff>16830</xdr:rowOff>
    </xdr:from>
    <xdr:to>
      <xdr:col>10</xdr:col>
      <xdr:colOff>918348</xdr:colOff>
      <xdr:row>22</xdr:row>
      <xdr:rowOff>127002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7" y="3244747"/>
          <a:ext cx="2040164" cy="1295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16</xdr:row>
      <xdr:rowOff>152400</xdr:rowOff>
    </xdr:from>
    <xdr:to>
      <xdr:col>5</xdr:col>
      <xdr:colOff>38100</xdr:colOff>
      <xdr:row>28</xdr:row>
      <xdr:rowOff>95250</xdr:rowOff>
    </xdr:to>
    <xdr:pic>
      <xdr:nvPicPr>
        <xdr:cNvPr id="2113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990850"/>
          <a:ext cx="36957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19050</xdr:rowOff>
    </xdr:from>
    <xdr:to>
      <xdr:col>4</xdr:col>
      <xdr:colOff>352425</xdr:colOff>
      <xdr:row>17</xdr:row>
      <xdr:rowOff>28575</xdr:rowOff>
    </xdr:to>
    <xdr:pic>
      <xdr:nvPicPr>
        <xdr:cNvPr id="21137" name="Picture 6" descr="DSCN6332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0550"/>
          <a:ext cx="3248025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</xdr:row>
      <xdr:rowOff>0</xdr:rowOff>
    </xdr:from>
    <xdr:to>
      <xdr:col>4</xdr:col>
      <xdr:colOff>304800</xdr:colOff>
      <xdr:row>28</xdr:row>
      <xdr:rowOff>104775</xdr:rowOff>
    </xdr:to>
    <xdr:pic>
      <xdr:nvPicPr>
        <xdr:cNvPr id="21138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0"/>
          <a:ext cx="3209925" cy="431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2</xdr:row>
      <xdr:rowOff>9525</xdr:rowOff>
    </xdr:from>
    <xdr:to>
      <xdr:col>16</xdr:col>
      <xdr:colOff>0</xdr:colOff>
      <xdr:row>17</xdr:row>
      <xdr:rowOff>9525</xdr:rowOff>
    </xdr:to>
    <xdr:pic>
      <xdr:nvPicPr>
        <xdr:cNvPr id="21139" name="2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81025"/>
          <a:ext cx="407670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628650</xdr:colOff>
      <xdr:row>15</xdr:row>
      <xdr:rowOff>142875</xdr:rowOff>
    </xdr:from>
    <xdr:to>
      <xdr:col>16</xdr:col>
      <xdr:colOff>0</xdr:colOff>
      <xdr:row>28</xdr:row>
      <xdr:rowOff>123825</xdr:rowOff>
    </xdr:to>
    <xdr:pic>
      <xdr:nvPicPr>
        <xdr:cNvPr id="21140" name="4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819400"/>
          <a:ext cx="31813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</xdr:row>
      <xdr:rowOff>19050</xdr:rowOff>
    </xdr:from>
    <xdr:to>
      <xdr:col>11</xdr:col>
      <xdr:colOff>685800</xdr:colOff>
      <xdr:row>28</xdr:row>
      <xdr:rowOff>114300</xdr:rowOff>
    </xdr:to>
    <xdr:pic>
      <xdr:nvPicPr>
        <xdr:cNvPr id="21141" name="1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90550"/>
          <a:ext cx="5734050" cy="430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238124</xdr:colOff>
      <xdr:row>16</xdr:row>
      <xdr:rowOff>120974</xdr:rowOff>
    </xdr:from>
    <xdr:to>
      <xdr:col>9</xdr:col>
      <xdr:colOff>277663</xdr:colOff>
      <xdr:row>26</xdr:row>
      <xdr:rowOff>19050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2959424"/>
          <a:ext cx="2325539" cy="151732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0</xdr:row>
      <xdr:rowOff>9525</xdr:rowOff>
    </xdr:from>
    <xdr:to>
      <xdr:col>20</xdr:col>
      <xdr:colOff>495300</xdr:colOff>
      <xdr:row>1</xdr:row>
      <xdr:rowOff>428625</xdr:rowOff>
    </xdr:to>
    <xdr:pic>
      <xdr:nvPicPr>
        <xdr:cNvPr id="41535" name="irc_mi" descr="Velocidad_tenis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9525"/>
          <a:ext cx="2581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2</xdr:row>
      <xdr:rowOff>257175</xdr:rowOff>
    </xdr:to>
    <xdr:pic>
      <xdr:nvPicPr>
        <xdr:cNvPr id="41536" name="Picture 328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4097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123825</xdr:colOff>
      <xdr:row>7</xdr:row>
      <xdr:rowOff>180975</xdr:rowOff>
    </xdr:from>
    <xdr:to>
      <xdr:col>19</xdr:col>
      <xdr:colOff>9525</xdr:colOff>
      <xdr:row>9</xdr:row>
      <xdr:rowOff>0</xdr:rowOff>
    </xdr:to>
    <xdr:pic>
      <xdr:nvPicPr>
        <xdr:cNvPr id="41545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00977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123825</xdr:colOff>
      <xdr:row>9</xdr:row>
      <xdr:rowOff>180975</xdr:rowOff>
    </xdr:from>
    <xdr:to>
      <xdr:col>19</xdr:col>
      <xdr:colOff>9525</xdr:colOff>
      <xdr:row>11</xdr:row>
      <xdr:rowOff>0</xdr:rowOff>
    </xdr:to>
    <xdr:pic>
      <xdr:nvPicPr>
        <xdr:cNvPr id="41546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37172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5</xdr:row>
      <xdr:rowOff>180975</xdr:rowOff>
    </xdr:from>
    <xdr:to>
      <xdr:col>19</xdr:col>
      <xdr:colOff>0</xdr:colOff>
      <xdr:row>7</xdr:row>
      <xdr:rowOff>0</xdr:rowOff>
    </xdr:to>
    <xdr:pic>
      <xdr:nvPicPr>
        <xdr:cNvPr id="41547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4782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95250</xdr:rowOff>
    </xdr:from>
    <xdr:to>
      <xdr:col>5</xdr:col>
      <xdr:colOff>194243</xdr:colOff>
      <xdr:row>21</xdr:row>
      <xdr:rowOff>51887</xdr:rowOff>
    </xdr:to>
    <xdr:pic>
      <xdr:nvPicPr>
        <xdr:cNvPr id="22" name="Picture 39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"/>
          <a:ext cx="2013518" cy="16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123825</xdr:colOff>
      <xdr:row>12</xdr:row>
      <xdr:rowOff>0</xdr:rowOff>
    </xdr:from>
    <xdr:to>
      <xdr:col>19</xdr:col>
      <xdr:colOff>9525</xdr:colOff>
      <xdr:row>13</xdr:row>
      <xdr:rowOff>0</xdr:rowOff>
    </xdr:to>
    <xdr:pic>
      <xdr:nvPicPr>
        <xdr:cNvPr id="23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73367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84458</xdr:colOff>
      <xdr:row>8</xdr:row>
      <xdr:rowOff>33709</xdr:rowOff>
    </xdr:from>
    <xdr:to>
      <xdr:col>25</xdr:col>
      <xdr:colOff>482281</xdr:colOff>
      <xdr:row>11</xdr:row>
      <xdr:rowOff>132051</xdr:rowOff>
    </xdr:to>
    <xdr:pic>
      <xdr:nvPicPr>
        <xdr:cNvPr id="19" name="26 Imagen" descr="Escudo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708" y="2043484"/>
          <a:ext cx="397823" cy="64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393526</xdr:colOff>
      <xdr:row>2</xdr:row>
      <xdr:rowOff>174295</xdr:rowOff>
    </xdr:from>
    <xdr:to>
      <xdr:col>22</xdr:col>
      <xdr:colOff>444278</xdr:colOff>
      <xdr:row>5</xdr:row>
      <xdr:rowOff>130505</xdr:rowOff>
    </xdr:to>
    <xdr:pic>
      <xdr:nvPicPr>
        <xdr:cNvPr id="20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776" y="1050595"/>
          <a:ext cx="812752" cy="5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53502</xdr:colOff>
      <xdr:row>2</xdr:row>
      <xdr:rowOff>127042</xdr:rowOff>
    </xdr:from>
    <xdr:to>
      <xdr:col>25</xdr:col>
      <xdr:colOff>451325</xdr:colOff>
      <xdr:row>5</xdr:row>
      <xdr:rowOff>177759</xdr:rowOff>
    </xdr:to>
    <xdr:pic>
      <xdr:nvPicPr>
        <xdr:cNvPr id="21" name="26 Imagen" descr="Escudo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5752" y="1003342"/>
          <a:ext cx="397823" cy="64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276225</xdr:colOff>
      <xdr:row>7</xdr:row>
      <xdr:rowOff>4850</xdr:rowOff>
    </xdr:to>
    <xdr:pic>
      <xdr:nvPicPr>
        <xdr:cNvPr id="28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647825"/>
          <a:ext cx="276225" cy="1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276225</xdr:colOff>
      <xdr:row>9</xdr:row>
      <xdr:rowOff>4850</xdr:rowOff>
    </xdr:to>
    <xdr:pic>
      <xdr:nvPicPr>
        <xdr:cNvPr id="29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009775"/>
          <a:ext cx="276225" cy="1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104775</xdr:colOff>
      <xdr:row>0</xdr:row>
      <xdr:rowOff>0</xdr:rowOff>
    </xdr:from>
    <xdr:to>
      <xdr:col>22</xdr:col>
      <xdr:colOff>685800</xdr:colOff>
      <xdr:row>1</xdr:row>
      <xdr:rowOff>419100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0"/>
          <a:ext cx="1343025" cy="8572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180974</xdr:rowOff>
    </xdr:from>
    <xdr:to>
      <xdr:col>15</xdr:col>
      <xdr:colOff>314325</xdr:colOff>
      <xdr:row>11</xdr:row>
      <xdr:rowOff>9349</xdr:rowOff>
    </xdr:to>
    <xdr:pic>
      <xdr:nvPicPr>
        <xdr:cNvPr id="31" name="Picture 17" descr="Bandera de El Rubio">
          <a:hlinkClick xmlns:r="http://schemas.openxmlformats.org/officeDocument/2006/relationships" r:id="rId8" tooltip="Bandera de El Rub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371724"/>
          <a:ext cx="314325" cy="19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304800</xdr:colOff>
      <xdr:row>13</xdr:row>
      <xdr:rowOff>9525</xdr:rowOff>
    </xdr:to>
    <xdr:pic>
      <xdr:nvPicPr>
        <xdr:cNvPr id="33" name="Picture 286" descr="Bandera de Linares">
          <a:hlinkClick xmlns:r="http://schemas.openxmlformats.org/officeDocument/2006/relationships" r:id="rId10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7336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398565</xdr:colOff>
      <xdr:row>14</xdr:row>
      <xdr:rowOff>117810</xdr:rowOff>
    </xdr:from>
    <xdr:to>
      <xdr:col>22</xdr:col>
      <xdr:colOff>439239</xdr:colOff>
      <xdr:row>17</xdr:row>
      <xdr:rowOff>118058</xdr:rowOff>
    </xdr:to>
    <xdr:pic>
      <xdr:nvPicPr>
        <xdr:cNvPr id="34" name="Picture 17" descr="Bandera de El Rubio">
          <a:hlinkClick xmlns:r="http://schemas.openxmlformats.org/officeDocument/2006/relationships" r:id="rId8" tooltip="Bandera de El Rub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6815" y="3203910"/>
          <a:ext cx="802674" cy="486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99333</xdr:colOff>
      <xdr:row>14</xdr:row>
      <xdr:rowOff>32903</xdr:rowOff>
    </xdr:from>
    <xdr:to>
      <xdr:col>25</xdr:col>
      <xdr:colOff>467405</xdr:colOff>
      <xdr:row>18</xdr:row>
      <xdr:rowOff>41040</xdr:rowOff>
    </xdr:to>
    <xdr:pic>
      <xdr:nvPicPr>
        <xdr:cNvPr id="35" name="Picture 20" descr="Escudo de El Rubio">
          <a:hlinkClick xmlns:r="http://schemas.openxmlformats.org/officeDocument/2006/relationships" r:id="rId13" tooltip="Escudo de El Rub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1583" y="3119003"/>
          <a:ext cx="368072" cy="6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395090</xdr:colOff>
      <xdr:row>21</xdr:row>
      <xdr:rowOff>43605</xdr:rowOff>
    </xdr:from>
    <xdr:to>
      <xdr:col>22</xdr:col>
      <xdr:colOff>442715</xdr:colOff>
      <xdr:row>26</xdr:row>
      <xdr:rowOff>150359</xdr:rowOff>
    </xdr:to>
    <xdr:pic>
      <xdr:nvPicPr>
        <xdr:cNvPr id="36" name="Picture 290" descr="Bandera de Linares">
          <a:hlinkClick xmlns:r="http://schemas.openxmlformats.org/officeDocument/2006/relationships" r:id="rId10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3340" y="4263180"/>
          <a:ext cx="809625" cy="53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23813</xdr:colOff>
      <xdr:row>20</xdr:row>
      <xdr:rowOff>142875</xdr:rowOff>
    </xdr:from>
    <xdr:to>
      <xdr:col>25</xdr:col>
      <xdr:colOff>542925</xdr:colOff>
      <xdr:row>27</xdr:row>
      <xdr:rowOff>51088</xdr:rowOff>
    </xdr:to>
    <xdr:pic>
      <xdr:nvPicPr>
        <xdr:cNvPr id="37" name="Picture 291" descr="Escudo de Linares">
          <a:hlinkClick xmlns:r="http://schemas.openxmlformats.org/officeDocument/2006/relationships" r:id="rId16" tooltip="Escudo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6063" y="4200525"/>
          <a:ext cx="519112" cy="66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447676</xdr:colOff>
      <xdr:row>2</xdr:row>
      <xdr:rowOff>1</xdr:rowOff>
    </xdr:from>
    <xdr:to>
      <xdr:col>21</xdr:col>
      <xdr:colOff>93218</xdr:colOff>
      <xdr:row>28</xdr:row>
      <xdr:rowOff>76201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29576" y="876301"/>
          <a:ext cx="921892" cy="4171950"/>
        </a:xfrm>
        <a:prstGeom prst="rect">
          <a:avLst/>
        </a:prstGeom>
      </xdr:spPr>
    </xdr:pic>
    <xdr:clientData/>
  </xdr:twoCellAnchor>
  <xdr:twoCellAnchor editAs="oneCell">
    <xdr:from>
      <xdr:col>21</xdr:col>
      <xdr:colOff>393526</xdr:colOff>
      <xdr:row>8</xdr:row>
      <xdr:rowOff>80962</xdr:rowOff>
    </xdr:from>
    <xdr:to>
      <xdr:col>22</xdr:col>
      <xdr:colOff>444278</xdr:colOff>
      <xdr:row>11</xdr:row>
      <xdr:rowOff>84797</xdr:rowOff>
    </xdr:to>
    <xdr:pic>
      <xdr:nvPicPr>
        <xdr:cNvPr id="24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776" y="2090737"/>
          <a:ext cx="812752" cy="5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209550</xdr:colOff>
      <xdr:row>0</xdr:row>
      <xdr:rowOff>9525</xdr:rowOff>
    </xdr:from>
    <xdr:to>
      <xdr:col>20</xdr:col>
      <xdr:colOff>485775</xdr:colOff>
      <xdr:row>1</xdr:row>
      <xdr:rowOff>428625</xdr:rowOff>
    </xdr:to>
    <xdr:pic>
      <xdr:nvPicPr>
        <xdr:cNvPr id="42557" name="irc_mi" descr="Velocidad_tenis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525"/>
          <a:ext cx="2581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3</xdr:col>
      <xdr:colOff>209550</xdr:colOff>
      <xdr:row>2</xdr:row>
      <xdr:rowOff>257175</xdr:rowOff>
    </xdr:to>
    <xdr:pic>
      <xdr:nvPicPr>
        <xdr:cNvPr id="42558" name="Picture 294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4097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8</xdr:row>
      <xdr:rowOff>0</xdr:rowOff>
    </xdr:from>
    <xdr:to>
      <xdr:col>19</xdr:col>
      <xdr:colOff>28575</xdr:colOff>
      <xdr:row>9</xdr:row>
      <xdr:rowOff>0</xdr:rowOff>
    </xdr:to>
    <xdr:pic>
      <xdr:nvPicPr>
        <xdr:cNvPr id="42562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977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10</xdr:row>
      <xdr:rowOff>0</xdr:rowOff>
    </xdr:from>
    <xdr:to>
      <xdr:col>19</xdr:col>
      <xdr:colOff>28575</xdr:colOff>
      <xdr:row>11</xdr:row>
      <xdr:rowOff>0</xdr:rowOff>
    </xdr:to>
    <xdr:pic>
      <xdr:nvPicPr>
        <xdr:cNvPr id="42563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7172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12</xdr:row>
      <xdr:rowOff>0</xdr:rowOff>
    </xdr:from>
    <xdr:to>
      <xdr:col>19</xdr:col>
      <xdr:colOff>28575</xdr:colOff>
      <xdr:row>13</xdr:row>
      <xdr:rowOff>0</xdr:rowOff>
    </xdr:to>
    <xdr:pic>
      <xdr:nvPicPr>
        <xdr:cNvPr id="42564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73367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133350</xdr:colOff>
      <xdr:row>6</xdr:row>
      <xdr:rowOff>0</xdr:rowOff>
    </xdr:from>
    <xdr:to>
      <xdr:col>19</xdr:col>
      <xdr:colOff>19050</xdr:colOff>
      <xdr:row>7</xdr:row>
      <xdr:rowOff>0</xdr:rowOff>
    </xdr:to>
    <xdr:pic>
      <xdr:nvPicPr>
        <xdr:cNvPr id="42565" name="plahover0" descr="España Sin Escud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64782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19049</xdr:colOff>
      <xdr:row>6</xdr:row>
      <xdr:rowOff>19050</xdr:rowOff>
    </xdr:from>
    <xdr:to>
      <xdr:col>15</xdr:col>
      <xdr:colOff>295274</xdr:colOff>
      <xdr:row>7</xdr:row>
      <xdr:rowOff>10716</xdr:rowOff>
    </xdr:to>
    <xdr:pic>
      <xdr:nvPicPr>
        <xdr:cNvPr id="42573" name="Picture 286" descr="Bandera de Linares">
          <a:hlinkClick xmlns:r="http://schemas.openxmlformats.org/officeDocument/2006/relationships" r:id="rId4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9" y="1666875"/>
          <a:ext cx="276225" cy="17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66675</xdr:rowOff>
    </xdr:from>
    <xdr:to>
      <xdr:col>5</xdr:col>
      <xdr:colOff>194243</xdr:colOff>
      <xdr:row>21</xdr:row>
      <xdr:rowOff>23312</xdr:rowOff>
    </xdr:to>
    <xdr:pic>
      <xdr:nvPicPr>
        <xdr:cNvPr id="22" name="Picture 39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9375"/>
          <a:ext cx="2013518" cy="1623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276225</xdr:colOff>
      <xdr:row>8</xdr:row>
      <xdr:rowOff>172641</xdr:rowOff>
    </xdr:to>
    <xdr:pic>
      <xdr:nvPicPr>
        <xdr:cNvPr id="29" name="Picture 286" descr="Bandera de Linares">
          <a:hlinkClick xmlns:r="http://schemas.openxmlformats.org/officeDocument/2006/relationships" r:id="rId4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009775"/>
          <a:ext cx="276225" cy="17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276225</xdr:colOff>
      <xdr:row>10</xdr:row>
      <xdr:rowOff>172641</xdr:rowOff>
    </xdr:to>
    <xdr:pic>
      <xdr:nvPicPr>
        <xdr:cNvPr id="30" name="Picture 286" descr="Bandera de Linares">
          <a:hlinkClick xmlns:r="http://schemas.openxmlformats.org/officeDocument/2006/relationships" r:id="rId4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371725"/>
          <a:ext cx="276225" cy="17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276225</xdr:colOff>
      <xdr:row>13</xdr:row>
      <xdr:rowOff>4850</xdr:rowOff>
    </xdr:to>
    <xdr:pic>
      <xdr:nvPicPr>
        <xdr:cNvPr id="34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733675"/>
          <a:ext cx="276225" cy="1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390525</xdr:colOff>
      <xdr:row>2</xdr:row>
      <xdr:rowOff>1</xdr:rowOff>
    </xdr:from>
    <xdr:to>
      <xdr:col>21</xdr:col>
      <xdr:colOff>24080</xdr:colOff>
      <xdr:row>28</xdr:row>
      <xdr:rowOff>57151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72425" y="876301"/>
          <a:ext cx="909905" cy="415290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361950</xdr:colOff>
      <xdr:row>2</xdr:row>
      <xdr:rowOff>224580</xdr:rowOff>
    </xdr:from>
    <xdr:to>
      <xdr:col>22</xdr:col>
      <xdr:colOff>409575</xdr:colOff>
      <xdr:row>5</xdr:row>
      <xdr:rowOff>169409</xdr:rowOff>
    </xdr:to>
    <xdr:pic>
      <xdr:nvPicPr>
        <xdr:cNvPr id="24" name="Picture 290" descr="Bandera de Linares">
          <a:hlinkClick xmlns:r="http://schemas.openxmlformats.org/officeDocument/2006/relationships" r:id="rId4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100880"/>
          <a:ext cx="809625" cy="53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695523</xdr:colOff>
      <xdr:row>2</xdr:row>
      <xdr:rowOff>161925</xdr:rowOff>
    </xdr:from>
    <xdr:to>
      <xdr:col>25</xdr:col>
      <xdr:colOff>452635</xdr:colOff>
      <xdr:row>6</xdr:row>
      <xdr:rowOff>51088</xdr:rowOff>
    </xdr:to>
    <xdr:pic>
      <xdr:nvPicPr>
        <xdr:cNvPr id="25" name="Picture 291" descr="Escudo de Linares">
          <a:hlinkClick xmlns:r="http://schemas.openxmlformats.org/officeDocument/2006/relationships" r:id="rId9" tooltip="Escudo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773" y="1038225"/>
          <a:ext cx="519112" cy="66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95250</xdr:colOff>
      <xdr:row>0</xdr:row>
      <xdr:rowOff>9525</xdr:rowOff>
    </xdr:from>
    <xdr:to>
      <xdr:col>22</xdr:col>
      <xdr:colOff>676275</xdr:colOff>
      <xdr:row>1</xdr:row>
      <xdr:rowOff>428625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9525"/>
          <a:ext cx="1343025" cy="85725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361950</xdr:colOff>
      <xdr:row>8</xdr:row>
      <xdr:rowOff>72180</xdr:rowOff>
    </xdr:from>
    <xdr:to>
      <xdr:col>22</xdr:col>
      <xdr:colOff>409575</xdr:colOff>
      <xdr:row>11</xdr:row>
      <xdr:rowOff>64634</xdr:rowOff>
    </xdr:to>
    <xdr:pic>
      <xdr:nvPicPr>
        <xdr:cNvPr id="28" name="Picture 290" descr="Bandera de Linares">
          <a:hlinkClick xmlns:r="http://schemas.openxmlformats.org/officeDocument/2006/relationships" r:id="rId4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2081955"/>
          <a:ext cx="809625" cy="53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695523</xdr:colOff>
      <xdr:row>8</xdr:row>
      <xdr:rowOff>9525</xdr:rowOff>
    </xdr:from>
    <xdr:to>
      <xdr:col>25</xdr:col>
      <xdr:colOff>452635</xdr:colOff>
      <xdr:row>11</xdr:row>
      <xdr:rowOff>127288</xdr:rowOff>
    </xdr:to>
    <xdr:pic>
      <xdr:nvPicPr>
        <xdr:cNvPr id="31" name="Picture 291" descr="Escudo de Linares">
          <a:hlinkClick xmlns:r="http://schemas.openxmlformats.org/officeDocument/2006/relationships" r:id="rId9" tooltip="Escudo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773" y="2019300"/>
          <a:ext cx="519112" cy="66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361950</xdr:colOff>
      <xdr:row>14</xdr:row>
      <xdr:rowOff>110280</xdr:rowOff>
    </xdr:from>
    <xdr:to>
      <xdr:col>22</xdr:col>
      <xdr:colOff>409575</xdr:colOff>
      <xdr:row>17</xdr:row>
      <xdr:rowOff>159884</xdr:rowOff>
    </xdr:to>
    <xdr:pic>
      <xdr:nvPicPr>
        <xdr:cNvPr id="39" name="Picture 290" descr="Bandera de Linares">
          <a:hlinkClick xmlns:r="http://schemas.openxmlformats.org/officeDocument/2006/relationships" r:id="rId4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3196380"/>
          <a:ext cx="809625" cy="535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695523</xdr:colOff>
      <xdr:row>14</xdr:row>
      <xdr:rowOff>47625</xdr:rowOff>
    </xdr:from>
    <xdr:to>
      <xdr:col>25</xdr:col>
      <xdr:colOff>452635</xdr:colOff>
      <xdr:row>18</xdr:row>
      <xdr:rowOff>60613</xdr:rowOff>
    </xdr:to>
    <xdr:pic>
      <xdr:nvPicPr>
        <xdr:cNvPr id="40" name="Picture 291" descr="Escudo de Linares">
          <a:hlinkClick xmlns:r="http://schemas.openxmlformats.org/officeDocument/2006/relationships" r:id="rId9" tooltip="Escudo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773" y="3133725"/>
          <a:ext cx="519112" cy="660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756168</xdr:colOff>
      <xdr:row>21</xdr:row>
      <xdr:rowOff>28575</xdr:rowOff>
    </xdr:from>
    <xdr:to>
      <xdr:col>25</xdr:col>
      <xdr:colOff>391991</xdr:colOff>
      <xdr:row>27</xdr:row>
      <xdr:rowOff>79292</xdr:rowOff>
    </xdr:to>
    <xdr:pic>
      <xdr:nvPicPr>
        <xdr:cNvPr id="41" name="26 Imagen" descr="Escudo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6418" y="4248150"/>
          <a:ext cx="397823" cy="641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360386</xdr:colOff>
      <xdr:row>21</xdr:row>
      <xdr:rowOff>75828</xdr:rowOff>
    </xdr:from>
    <xdr:to>
      <xdr:col>22</xdr:col>
      <xdr:colOff>411138</xdr:colOff>
      <xdr:row>27</xdr:row>
      <xdr:rowOff>32038</xdr:rowOff>
    </xdr:to>
    <xdr:pic>
      <xdr:nvPicPr>
        <xdr:cNvPr id="42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8636" y="4295403"/>
          <a:ext cx="812752" cy="5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85725</xdr:rowOff>
    </xdr:from>
    <xdr:to>
      <xdr:col>8</xdr:col>
      <xdr:colOff>742950</xdr:colOff>
      <xdr:row>7</xdr:row>
      <xdr:rowOff>85725</xdr:rowOff>
    </xdr:to>
    <xdr:sp macro="" textlink="">
      <xdr:nvSpPr>
        <xdr:cNvPr id="44032" name="Line 2"/>
        <xdr:cNvSpPr>
          <a:spLocks noChangeShapeType="1"/>
        </xdr:cNvSpPr>
      </xdr:nvSpPr>
      <xdr:spPr bwMode="auto">
        <a:xfrm>
          <a:off x="3810000" y="214312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85725</xdr:rowOff>
    </xdr:from>
    <xdr:to>
      <xdr:col>8</xdr:col>
      <xdr:colOff>742950</xdr:colOff>
      <xdr:row>11</xdr:row>
      <xdr:rowOff>85725</xdr:rowOff>
    </xdr:to>
    <xdr:sp macro="" textlink="">
      <xdr:nvSpPr>
        <xdr:cNvPr id="44033" name="Line 3"/>
        <xdr:cNvSpPr>
          <a:spLocks noChangeShapeType="1"/>
        </xdr:cNvSpPr>
      </xdr:nvSpPr>
      <xdr:spPr bwMode="auto">
        <a:xfrm>
          <a:off x="3810000" y="3114675"/>
          <a:ext cx="742950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447675</xdr:colOff>
      <xdr:row>0</xdr:row>
      <xdr:rowOff>0</xdr:rowOff>
    </xdr:from>
    <xdr:to>
      <xdr:col>3</xdr:col>
      <xdr:colOff>428625</xdr:colOff>
      <xdr:row>3</xdr:row>
      <xdr:rowOff>9525</xdr:rowOff>
    </xdr:to>
    <xdr:pic>
      <xdr:nvPicPr>
        <xdr:cNvPr id="44034" name="Picture 45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4097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7793</xdr:colOff>
      <xdr:row>0</xdr:row>
      <xdr:rowOff>9525</xdr:rowOff>
    </xdr:from>
    <xdr:to>
      <xdr:col>24</xdr:col>
      <xdr:colOff>0</xdr:colOff>
      <xdr:row>1</xdr:row>
      <xdr:rowOff>428625</xdr:rowOff>
    </xdr:to>
    <xdr:pic>
      <xdr:nvPicPr>
        <xdr:cNvPr id="44036" name="irc_mi" descr="Velocidad_tenis_lar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270" y="9525"/>
          <a:ext cx="2581275" cy="8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147204</xdr:colOff>
      <xdr:row>5</xdr:row>
      <xdr:rowOff>129886</xdr:rowOff>
    </xdr:from>
    <xdr:to>
      <xdr:col>8</xdr:col>
      <xdr:colOff>561367</xdr:colOff>
      <xdr:row>7</xdr:row>
      <xdr:rowOff>40061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4522" y="1610591"/>
          <a:ext cx="414163" cy="498993"/>
        </a:xfrm>
        <a:prstGeom prst="rect">
          <a:avLst/>
        </a:prstGeom>
      </xdr:spPr>
    </xdr:pic>
    <xdr:clientData/>
  </xdr:twoCellAnchor>
  <xdr:twoCellAnchor editAs="oneCell">
    <xdr:from>
      <xdr:col>11</xdr:col>
      <xdr:colOff>277092</xdr:colOff>
      <xdr:row>0</xdr:row>
      <xdr:rowOff>1</xdr:rowOff>
    </xdr:from>
    <xdr:to>
      <xdr:col>12</xdr:col>
      <xdr:colOff>493570</xdr:colOff>
      <xdr:row>1</xdr:row>
      <xdr:rowOff>434729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2592" y="1"/>
          <a:ext cx="727364" cy="876342"/>
        </a:xfrm>
        <a:prstGeom prst="rect">
          <a:avLst/>
        </a:prstGeom>
      </xdr:spPr>
    </xdr:pic>
    <xdr:clientData/>
  </xdr:twoCellAnchor>
  <xdr:twoCellAnchor editAs="oneCell">
    <xdr:from>
      <xdr:col>12</xdr:col>
      <xdr:colOff>545524</xdr:colOff>
      <xdr:row>0</xdr:row>
      <xdr:rowOff>0</xdr:rowOff>
    </xdr:from>
    <xdr:to>
      <xdr:col>13</xdr:col>
      <xdr:colOff>173183</xdr:colOff>
      <xdr:row>1</xdr:row>
      <xdr:rowOff>441379</xdr:rowOff>
    </xdr:to>
    <xdr:pic>
      <xdr:nvPicPr>
        <xdr:cNvPr id="8" name="Picture 58" descr="Ismael Barrionuevo Moreno 20150929_09314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910" y="0"/>
          <a:ext cx="666750" cy="88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173182</xdr:colOff>
      <xdr:row>7</xdr:row>
      <xdr:rowOff>86590</xdr:rowOff>
    </xdr:from>
    <xdr:to>
      <xdr:col>8</xdr:col>
      <xdr:colOff>539337</xdr:colOff>
      <xdr:row>9</xdr:row>
      <xdr:rowOff>190499</xdr:rowOff>
    </xdr:to>
    <xdr:pic>
      <xdr:nvPicPr>
        <xdr:cNvPr id="9" name="Picture 58" descr="Ismael Barrionuevo Moreno 20150929_09314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156113"/>
          <a:ext cx="366155" cy="48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8660</xdr:colOff>
      <xdr:row>0</xdr:row>
      <xdr:rowOff>1</xdr:rowOff>
    </xdr:from>
    <xdr:to>
      <xdr:col>16</xdr:col>
      <xdr:colOff>50332</xdr:colOff>
      <xdr:row>1</xdr:row>
      <xdr:rowOff>415637</xdr:rowOff>
    </xdr:to>
    <xdr:pic>
      <xdr:nvPicPr>
        <xdr:cNvPr id="10" name="Picture 43" descr="Jav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5137" y="1"/>
          <a:ext cx="80367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103910</xdr:colOff>
      <xdr:row>0</xdr:row>
      <xdr:rowOff>17318</xdr:rowOff>
    </xdr:from>
    <xdr:to>
      <xdr:col>17</xdr:col>
      <xdr:colOff>371800</xdr:colOff>
      <xdr:row>1</xdr:row>
      <xdr:rowOff>432954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02387" y="17318"/>
          <a:ext cx="648890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147205</xdr:colOff>
      <xdr:row>9</xdr:row>
      <xdr:rowOff>207818</xdr:rowOff>
    </xdr:from>
    <xdr:to>
      <xdr:col>8</xdr:col>
      <xdr:colOff>562841</xdr:colOff>
      <xdr:row>11</xdr:row>
      <xdr:rowOff>62345</xdr:rowOff>
    </xdr:to>
    <xdr:pic>
      <xdr:nvPicPr>
        <xdr:cNvPr id="12" name="Picture 43" descr="Javi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523" y="2658341"/>
          <a:ext cx="415636" cy="443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138545</xdr:colOff>
      <xdr:row>11</xdr:row>
      <xdr:rowOff>103909</xdr:rowOff>
    </xdr:from>
    <xdr:to>
      <xdr:col>8</xdr:col>
      <xdr:colOff>580159</xdr:colOff>
      <xdr:row>14</xdr:row>
      <xdr:rowOff>115826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5863" y="3143250"/>
          <a:ext cx="441614" cy="583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0</xdr:row>
      <xdr:rowOff>0</xdr:rowOff>
    </xdr:from>
    <xdr:to>
      <xdr:col>16</xdr:col>
      <xdr:colOff>542925</xdr:colOff>
      <xdr:row>1</xdr:row>
      <xdr:rowOff>419100</xdr:rowOff>
    </xdr:to>
    <xdr:pic>
      <xdr:nvPicPr>
        <xdr:cNvPr id="45056" name="irc_mi" descr="Velocidad_tenis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0"/>
          <a:ext cx="2581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</xdr:row>
      <xdr:rowOff>85725</xdr:rowOff>
    </xdr:from>
    <xdr:to>
      <xdr:col>8</xdr:col>
      <xdr:colOff>638175</xdr:colOff>
      <xdr:row>8</xdr:row>
      <xdr:rowOff>85725</xdr:rowOff>
    </xdr:to>
    <xdr:sp macro="" textlink="">
      <xdr:nvSpPr>
        <xdr:cNvPr id="45057" name="Line 2"/>
        <xdr:cNvSpPr>
          <a:spLocks noChangeShapeType="1"/>
        </xdr:cNvSpPr>
      </xdr:nvSpPr>
      <xdr:spPr bwMode="auto">
        <a:xfrm>
          <a:off x="3876675" y="1876425"/>
          <a:ext cx="638175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15</xdr:row>
      <xdr:rowOff>114300</xdr:rowOff>
    </xdr:from>
    <xdr:to>
      <xdr:col>8</xdr:col>
      <xdr:colOff>676275</xdr:colOff>
      <xdr:row>15</xdr:row>
      <xdr:rowOff>114300</xdr:rowOff>
    </xdr:to>
    <xdr:sp macro="" textlink="">
      <xdr:nvSpPr>
        <xdr:cNvPr id="45058" name="Line 3"/>
        <xdr:cNvSpPr>
          <a:spLocks noChangeShapeType="1"/>
        </xdr:cNvSpPr>
      </xdr:nvSpPr>
      <xdr:spPr bwMode="auto">
        <a:xfrm>
          <a:off x="3876675" y="3400425"/>
          <a:ext cx="676275" cy="0"/>
        </a:xfrm>
        <a:prstGeom prst="line">
          <a:avLst/>
        </a:prstGeom>
        <a:noFill/>
        <a:ln w="9525">
          <a:solidFill>
            <a:srgbClr val="FF9900"/>
          </a:solidFill>
          <a:round/>
          <a:headEnd/>
          <a:tailEnd type="triangle" w="med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609600</xdr:colOff>
      <xdr:row>14</xdr:row>
      <xdr:rowOff>95250</xdr:rowOff>
    </xdr:from>
    <xdr:to>
      <xdr:col>16</xdr:col>
      <xdr:colOff>638175</xdr:colOff>
      <xdr:row>19</xdr:row>
      <xdr:rowOff>123825</xdr:rowOff>
    </xdr:to>
    <xdr:pic>
      <xdr:nvPicPr>
        <xdr:cNvPr id="45059" name="Picture 32" descr="Sello del Clu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152775"/>
          <a:ext cx="15525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0</xdr:row>
      <xdr:rowOff>0</xdr:rowOff>
    </xdr:from>
    <xdr:to>
      <xdr:col>4</xdr:col>
      <xdr:colOff>581025</xdr:colOff>
      <xdr:row>3</xdr:row>
      <xdr:rowOff>104775</xdr:rowOff>
    </xdr:to>
    <xdr:pic>
      <xdr:nvPicPr>
        <xdr:cNvPr id="45061" name="Picture 36" descr="Logo_CT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0"/>
          <a:ext cx="14097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15</xdr:row>
      <xdr:rowOff>152400</xdr:rowOff>
    </xdr:from>
    <xdr:to>
      <xdr:col>8</xdr:col>
      <xdr:colOff>571500</xdr:colOff>
      <xdr:row>17</xdr:row>
      <xdr:rowOff>171450</xdr:rowOff>
    </xdr:to>
    <xdr:pic>
      <xdr:nvPicPr>
        <xdr:cNvPr id="45062" name="Picture 43" descr="Jav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4385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161925</xdr:colOff>
      <xdr:row>0</xdr:row>
      <xdr:rowOff>0</xdr:rowOff>
    </xdr:from>
    <xdr:to>
      <xdr:col>12</xdr:col>
      <xdr:colOff>504825</xdr:colOff>
      <xdr:row>1</xdr:row>
      <xdr:rowOff>419100</xdr:rowOff>
    </xdr:to>
    <xdr:pic>
      <xdr:nvPicPr>
        <xdr:cNvPr id="45063" name="Picture 43" descr="Jav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123824</xdr:colOff>
      <xdr:row>13</xdr:row>
      <xdr:rowOff>152400</xdr:rowOff>
    </xdr:from>
    <xdr:to>
      <xdr:col>14</xdr:col>
      <xdr:colOff>504824</xdr:colOff>
      <xdr:row>20</xdr:row>
      <xdr:rowOff>104775</xdr:rowOff>
    </xdr:to>
    <xdr:pic>
      <xdr:nvPicPr>
        <xdr:cNvPr id="13" name="Picture 43" descr="Javi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299" y="3000375"/>
          <a:ext cx="14001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</xdr:row>
      <xdr:rowOff>200025</xdr:rowOff>
    </xdr:from>
    <xdr:to>
      <xdr:col>18</xdr:col>
      <xdr:colOff>581025</xdr:colOff>
      <xdr:row>18</xdr:row>
      <xdr:rowOff>161925</xdr:rowOff>
    </xdr:to>
    <xdr:pic>
      <xdr:nvPicPr>
        <xdr:cNvPr id="14" name="Picture 9" descr="Bandera de Linares">
          <a:hlinkClick xmlns:r="http://schemas.openxmlformats.org/officeDocument/2006/relationships" r:id="rId6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3257550"/>
          <a:ext cx="1257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524827</xdr:colOff>
      <xdr:row>0</xdr:row>
      <xdr:rowOff>9525</xdr:rowOff>
    </xdr:from>
    <xdr:to>
      <xdr:col>17</xdr:col>
      <xdr:colOff>485774</xdr:colOff>
      <xdr:row>2</xdr:row>
      <xdr:rowOff>4248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35477" y="9525"/>
          <a:ext cx="722947" cy="871023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13</xdr:row>
      <xdr:rowOff>19050</xdr:rowOff>
    </xdr:from>
    <xdr:to>
      <xdr:col>8</xdr:col>
      <xdr:colOff>547513</xdr:colOff>
      <xdr:row>15</xdr:row>
      <xdr:rowOff>79893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10025" y="2867025"/>
          <a:ext cx="414163" cy="498993"/>
        </a:xfrm>
        <a:prstGeom prst="rect">
          <a:avLst/>
        </a:prstGeom>
      </xdr:spPr>
    </xdr:pic>
    <xdr:clientData/>
  </xdr:twoCellAnchor>
  <xdr:twoCellAnchor editAs="oneCell">
    <xdr:from>
      <xdr:col>8</xdr:col>
      <xdr:colOff>110837</xdr:colOff>
      <xdr:row>5</xdr:row>
      <xdr:rowOff>85725</xdr:rowOff>
    </xdr:from>
    <xdr:to>
      <xdr:col>8</xdr:col>
      <xdr:colOff>491377</xdr:colOff>
      <xdr:row>8</xdr:row>
      <xdr:rowOff>65809</xdr:rowOff>
    </xdr:to>
    <xdr:pic>
      <xdr:nvPicPr>
        <xdr:cNvPr id="16" name="Picture 58" descr="Ismael Barrionuevo Moreno 20150929_09314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512" y="1419225"/>
          <a:ext cx="380540" cy="50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8</xdr:row>
      <xdr:rowOff>110837</xdr:rowOff>
    </xdr:from>
    <xdr:to>
      <xdr:col>8</xdr:col>
      <xdr:colOff>517814</xdr:colOff>
      <xdr:row>11</xdr:row>
      <xdr:rowOff>17979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52875" y="1968212"/>
          <a:ext cx="441614" cy="5834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49</xdr:row>
      <xdr:rowOff>19050</xdr:rowOff>
    </xdr:from>
    <xdr:to>
      <xdr:col>20</xdr:col>
      <xdr:colOff>66675</xdr:colOff>
      <xdr:row>62</xdr:row>
      <xdr:rowOff>76200</xdr:rowOff>
    </xdr:to>
    <xdr:pic>
      <xdr:nvPicPr>
        <xdr:cNvPr id="16814" name="Picture 4" descr="Club de Tenis Lina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3676650"/>
          <a:ext cx="1847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37</xdr:row>
      <xdr:rowOff>133350</xdr:rowOff>
    </xdr:from>
    <xdr:to>
      <xdr:col>10</xdr:col>
      <xdr:colOff>19050</xdr:colOff>
      <xdr:row>56</xdr:row>
      <xdr:rowOff>123825</xdr:rowOff>
    </xdr:to>
    <xdr:pic>
      <xdr:nvPicPr>
        <xdr:cNvPr id="16815" name="Picture 5" descr="FAT_Image_00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619375"/>
          <a:ext cx="31051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209550</xdr:colOff>
      <xdr:row>5</xdr:row>
      <xdr:rowOff>304800</xdr:rowOff>
    </xdr:from>
    <xdr:to>
      <xdr:col>31</xdr:col>
      <xdr:colOff>152400</xdr:colOff>
      <xdr:row>37</xdr:row>
      <xdr:rowOff>85725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304800"/>
          <a:ext cx="4924425" cy="226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19050</xdr:rowOff>
    </xdr:from>
    <xdr:to>
      <xdr:col>1</xdr:col>
      <xdr:colOff>266700</xdr:colOff>
      <xdr:row>2</xdr:row>
      <xdr:rowOff>171450</xdr:rowOff>
    </xdr:to>
    <xdr:pic>
      <xdr:nvPicPr>
        <xdr:cNvPr id="46080" name="Picture 1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</xdr:row>
      <xdr:rowOff>28575</xdr:rowOff>
    </xdr:from>
    <xdr:to>
      <xdr:col>2</xdr:col>
      <xdr:colOff>266700</xdr:colOff>
      <xdr:row>2</xdr:row>
      <xdr:rowOff>180975</xdr:rowOff>
    </xdr:to>
    <xdr:pic>
      <xdr:nvPicPr>
        <xdr:cNvPr id="46081" name="Picture 2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390525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</xdr:row>
      <xdr:rowOff>19050</xdr:rowOff>
    </xdr:from>
    <xdr:to>
      <xdr:col>1</xdr:col>
      <xdr:colOff>266700</xdr:colOff>
      <xdr:row>3</xdr:row>
      <xdr:rowOff>171450</xdr:rowOff>
    </xdr:to>
    <xdr:pic>
      <xdr:nvPicPr>
        <xdr:cNvPr id="46082" name="Picture 3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15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</xdr:row>
      <xdr:rowOff>28575</xdr:rowOff>
    </xdr:from>
    <xdr:to>
      <xdr:col>2</xdr:col>
      <xdr:colOff>266700</xdr:colOff>
      <xdr:row>3</xdr:row>
      <xdr:rowOff>180975</xdr:rowOff>
    </xdr:to>
    <xdr:pic>
      <xdr:nvPicPr>
        <xdr:cNvPr id="46083" name="Picture 4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81025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</xdr:row>
      <xdr:rowOff>19050</xdr:rowOff>
    </xdr:from>
    <xdr:to>
      <xdr:col>1</xdr:col>
      <xdr:colOff>266700</xdr:colOff>
      <xdr:row>4</xdr:row>
      <xdr:rowOff>171450</xdr:rowOff>
    </xdr:to>
    <xdr:pic>
      <xdr:nvPicPr>
        <xdr:cNvPr id="46084" name="Picture 5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620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</xdr:row>
      <xdr:rowOff>28575</xdr:rowOff>
    </xdr:from>
    <xdr:to>
      <xdr:col>2</xdr:col>
      <xdr:colOff>266700</xdr:colOff>
      <xdr:row>4</xdr:row>
      <xdr:rowOff>180975</xdr:rowOff>
    </xdr:to>
    <xdr:pic>
      <xdr:nvPicPr>
        <xdr:cNvPr id="46085" name="Picture 6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771525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5</xdr:row>
      <xdr:rowOff>9525</xdr:rowOff>
    </xdr:from>
    <xdr:to>
      <xdr:col>2</xdr:col>
      <xdr:colOff>266700</xdr:colOff>
      <xdr:row>5</xdr:row>
      <xdr:rowOff>161925</xdr:rowOff>
    </xdr:to>
    <xdr:pic>
      <xdr:nvPicPr>
        <xdr:cNvPr id="46086" name="Picture 7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94297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28575</xdr:rowOff>
    </xdr:from>
    <xdr:to>
      <xdr:col>1</xdr:col>
      <xdr:colOff>266700</xdr:colOff>
      <xdr:row>5</xdr:row>
      <xdr:rowOff>180975</xdr:rowOff>
    </xdr:to>
    <xdr:pic>
      <xdr:nvPicPr>
        <xdr:cNvPr id="46087" name="Picture 8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62025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8</xdr:row>
      <xdr:rowOff>9525</xdr:rowOff>
    </xdr:from>
    <xdr:to>
      <xdr:col>8</xdr:col>
      <xdr:colOff>390525</xdr:colOff>
      <xdr:row>12</xdr:row>
      <xdr:rowOff>123825</xdr:rowOff>
    </xdr:to>
    <xdr:pic>
      <xdr:nvPicPr>
        <xdr:cNvPr id="46088" name="Picture 9" descr="Bandera de Linares">
          <a:hlinkClick xmlns:r="http://schemas.openxmlformats.org/officeDocument/2006/relationships" r:id="rId3" tooltip="Bandera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457325"/>
          <a:ext cx="1143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6</xdr:row>
      <xdr:rowOff>142875</xdr:rowOff>
    </xdr:from>
    <xdr:to>
      <xdr:col>9</xdr:col>
      <xdr:colOff>676275</xdr:colOff>
      <xdr:row>13</xdr:row>
      <xdr:rowOff>38100</xdr:rowOff>
    </xdr:to>
    <xdr:pic>
      <xdr:nvPicPr>
        <xdr:cNvPr id="46089" name="Picture 10" descr="Escudo de Linares">
          <a:hlinkClick xmlns:r="http://schemas.openxmlformats.org/officeDocument/2006/relationships" r:id="rId5" tooltip="Escudo de Linare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266825"/>
          <a:ext cx="809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1</xdr:row>
      <xdr:rowOff>66675</xdr:rowOff>
    </xdr:from>
    <xdr:to>
      <xdr:col>8</xdr:col>
      <xdr:colOff>390525</xdr:colOff>
      <xdr:row>5</xdr:row>
      <xdr:rowOff>95250</xdr:rowOff>
    </xdr:to>
    <xdr:pic>
      <xdr:nvPicPr>
        <xdr:cNvPr id="46090" name="Picture 11" descr="Bandera de Andújar">
          <a:hlinkClick xmlns:r="http://schemas.openxmlformats.org/officeDocument/2006/relationships" r:id="rId7" tooltip="Bandera de Andúja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66700"/>
          <a:ext cx="1143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657225</xdr:colOff>
      <xdr:row>0</xdr:row>
      <xdr:rowOff>57150</xdr:rowOff>
    </xdr:from>
    <xdr:to>
      <xdr:col>9</xdr:col>
      <xdr:colOff>638175</xdr:colOff>
      <xdr:row>5</xdr:row>
      <xdr:rowOff>152400</xdr:rowOff>
    </xdr:to>
    <xdr:pic>
      <xdr:nvPicPr>
        <xdr:cNvPr id="46091" name="Picture 12" descr="Escudo de Andújar">
          <a:hlinkClick xmlns:r="http://schemas.openxmlformats.org/officeDocument/2006/relationships" r:id="rId9" tooltip="Escudo de Andújar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57150"/>
          <a:ext cx="742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15</xdr:row>
      <xdr:rowOff>0</xdr:rowOff>
    </xdr:from>
    <xdr:to>
      <xdr:col>8</xdr:col>
      <xdr:colOff>390525</xdr:colOff>
      <xdr:row>19</xdr:row>
      <xdr:rowOff>47625</xdr:rowOff>
    </xdr:to>
    <xdr:pic>
      <xdr:nvPicPr>
        <xdr:cNvPr id="46092" name="Picture 17" descr="Bandera de El Rubio">
          <a:hlinkClick xmlns:r="http://schemas.openxmlformats.org/officeDocument/2006/relationships" r:id="rId11" tooltip="Bandera de El Rub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752725"/>
          <a:ext cx="11430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13</xdr:row>
      <xdr:rowOff>142875</xdr:rowOff>
    </xdr:from>
    <xdr:to>
      <xdr:col>9</xdr:col>
      <xdr:colOff>600075</xdr:colOff>
      <xdr:row>20</xdr:row>
      <xdr:rowOff>38100</xdr:rowOff>
    </xdr:to>
    <xdr:pic>
      <xdr:nvPicPr>
        <xdr:cNvPr id="46093" name="Picture 20" descr="Escudo de El Rubio">
          <a:hlinkClick xmlns:r="http://schemas.openxmlformats.org/officeDocument/2006/relationships" r:id="rId13" tooltip="Escudo de El Rub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571750"/>
          <a:ext cx="5810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18</xdr:row>
      <xdr:rowOff>114300</xdr:rowOff>
    </xdr:from>
    <xdr:to>
      <xdr:col>21</xdr:col>
      <xdr:colOff>504825</xdr:colOff>
      <xdr:row>26</xdr:row>
      <xdr:rowOff>57150</xdr:rowOff>
    </xdr:to>
    <xdr:pic>
      <xdr:nvPicPr>
        <xdr:cNvPr id="46094" name="Picture 28" descr="Tomás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2025" y="3181350"/>
          <a:ext cx="10001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</xdr:row>
      <xdr:rowOff>9525</xdr:rowOff>
    </xdr:from>
    <xdr:to>
      <xdr:col>2</xdr:col>
      <xdr:colOff>266700</xdr:colOff>
      <xdr:row>7</xdr:row>
      <xdr:rowOff>0</xdr:rowOff>
    </xdr:to>
    <xdr:pic>
      <xdr:nvPicPr>
        <xdr:cNvPr id="46095" name="Picture 3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13347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28575</xdr:rowOff>
    </xdr:from>
    <xdr:to>
      <xdr:col>1</xdr:col>
      <xdr:colOff>266700</xdr:colOff>
      <xdr:row>7</xdr:row>
      <xdr:rowOff>19050</xdr:rowOff>
    </xdr:to>
    <xdr:pic>
      <xdr:nvPicPr>
        <xdr:cNvPr id="46096" name="Picture 33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52525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</xdr:row>
      <xdr:rowOff>19050</xdr:rowOff>
    </xdr:from>
    <xdr:to>
      <xdr:col>1</xdr:col>
      <xdr:colOff>266700</xdr:colOff>
      <xdr:row>8</xdr:row>
      <xdr:rowOff>9525</xdr:rowOff>
    </xdr:to>
    <xdr:pic>
      <xdr:nvPicPr>
        <xdr:cNvPr id="46097" name="Picture 40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0492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</xdr:row>
      <xdr:rowOff>9525</xdr:rowOff>
    </xdr:from>
    <xdr:to>
      <xdr:col>1</xdr:col>
      <xdr:colOff>266700</xdr:colOff>
      <xdr:row>8</xdr:row>
      <xdr:rowOff>0</xdr:rowOff>
    </xdr:to>
    <xdr:pic>
      <xdr:nvPicPr>
        <xdr:cNvPr id="46098" name="Picture 41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954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7</xdr:row>
      <xdr:rowOff>9525</xdr:rowOff>
    </xdr:from>
    <xdr:to>
      <xdr:col>2</xdr:col>
      <xdr:colOff>266700</xdr:colOff>
      <xdr:row>8</xdr:row>
      <xdr:rowOff>0</xdr:rowOff>
    </xdr:to>
    <xdr:pic>
      <xdr:nvPicPr>
        <xdr:cNvPr id="46099" name="Picture 4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2954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16967</xdr:colOff>
      <xdr:row>0</xdr:row>
      <xdr:rowOff>0</xdr:rowOff>
    </xdr:from>
    <xdr:to>
      <xdr:col>15</xdr:col>
      <xdr:colOff>335459</xdr:colOff>
      <xdr:row>6</xdr:row>
      <xdr:rowOff>28575</xdr:rowOff>
    </xdr:to>
    <xdr:pic>
      <xdr:nvPicPr>
        <xdr:cNvPr id="46100" name="Picture 43" descr="Javi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1292" y="0"/>
          <a:ext cx="1080492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59</xdr:row>
      <xdr:rowOff>95250</xdr:rowOff>
    </xdr:from>
    <xdr:to>
      <xdr:col>6</xdr:col>
      <xdr:colOff>533400</xdr:colOff>
      <xdr:row>67</xdr:row>
      <xdr:rowOff>57150</xdr:rowOff>
    </xdr:to>
    <xdr:pic>
      <xdr:nvPicPr>
        <xdr:cNvPr id="46101" name="Picture 45" descr="Javi Martos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9972675"/>
          <a:ext cx="1143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200025</xdr:colOff>
      <xdr:row>2</xdr:row>
      <xdr:rowOff>180975</xdr:rowOff>
    </xdr:from>
    <xdr:to>
      <xdr:col>21</xdr:col>
      <xdr:colOff>590550</xdr:colOff>
      <xdr:row>10</xdr:row>
      <xdr:rowOff>19050</xdr:rowOff>
    </xdr:to>
    <xdr:pic>
      <xdr:nvPicPr>
        <xdr:cNvPr id="46102" name="Picture 46" descr="Expósito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542925"/>
          <a:ext cx="11525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</xdr:row>
      <xdr:rowOff>9525</xdr:rowOff>
    </xdr:from>
    <xdr:to>
      <xdr:col>2</xdr:col>
      <xdr:colOff>266700</xdr:colOff>
      <xdr:row>9</xdr:row>
      <xdr:rowOff>0</xdr:rowOff>
    </xdr:to>
    <xdr:pic>
      <xdr:nvPicPr>
        <xdr:cNvPr id="46103" name="Picture 54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457325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</xdr:row>
      <xdr:rowOff>9525</xdr:rowOff>
    </xdr:from>
    <xdr:to>
      <xdr:col>1</xdr:col>
      <xdr:colOff>266700</xdr:colOff>
      <xdr:row>9</xdr:row>
      <xdr:rowOff>0</xdr:rowOff>
    </xdr:to>
    <xdr:pic>
      <xdr:nvPicPr>
        <xdr:cNvPr id="46104" name="Picture 55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5732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381000</xdr:colOff>
      <xdr:row>2</xdr:row>
      <xdr:rowOff>142875</xdr:rowOff>
    </xdr:from>
    <xdr:to>
      <xdr:col>19</xdr:col>
      <xdr:colOff>752475</xdr:colOff>
      <xdr:row>10</xdr:row>
      <xdr:rowOff>85725</xdr:rowOff>
    </xdr:to>
    <xdr:pic>
      <xdr:nvPicPr>
        <xdr:cNvPr id="46105" name="37 Imagen" descr="C:\Users\JESUS\Desktop\Sin título-1.jpg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504825"/>
          <a:ext cx="11334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14288</xdr:colOff>
      <xdr:row>23</xdr:row>
      <xdr:rowOff>0</xdr:rowOff>
    </xdr:from>
    <xdr:to>
      <xdr:col>15</xdr:col>
      <xdr:colOff>338138</xdr:colOff>
      <xdr:row>30</xdr:row>
      <xdr:rowOff>47625</xdr:rowOff>
    </xdr:to>
    <xdr:pic>
      <xdr:nvPicPr>
        <xdr:cNvPr id="46106" name="1 Imagen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613" y="3876675"/>
          <a:ext cx="10858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7</xdr:row>
      <xdr:rowOff>85725</xdr:rowOff>
    </xdr:from>
    <xdr:to>
      <xdr:col>5</xdr:col>
      <xdr:colOff>581025</xdr:colOff>
      <xdr:row>11</xdr:row>
      <xdr:rowOff>76200</xdr:rowOff>
    </xdr:to>
    <xdr:pic>
      <xdr:nvPicPr>
        <xdr:cNvPr id="46107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371600"/>
          <a:ext cx="571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552450</xdr:colOff>
      <xdr:row>5</xdr:row>
      <xdr:rowOff>28575</xdr:rowOff>
    </xdr:to>
    <xdr:pic>
      <xdr:nvPicPr>
        <xdr:cNvPr id="46108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361950"/>
          <a:ext cx="552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</xdr:row>
      <xdr:rowOff>9525</xdr:rowOff>
    </xdr:from>
    <xdr:to>
      <xdr:col>2</xdr:col>
      <xdr:colOff>266700</xdr:colOff>
      <xdr:row>10</xdr:row>
      <xdr:rowOff>0</xdr:rowOff>
    </xdr:to>
    <xdr:pic>
      <xdr:nvPicPr>
        <xdr:cNvPr id="46109" name="Picture 54" descr="Archivo:Flag of Andújar Spain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619250"/>
          <a:ext cx="238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9</xdr:row>
      <xdr:rowOff>9525</xdr:rowOff>
    </xdr:from>
    <xdr:to>
      <xdr:col>1</xdr:col>
      <xdr:colOff>266700</xdr:colOff>
      <xdr:row>10</xdr:row>
      <xdr:rowOff>0</xdr:rowOff>
    </xdr:to>
    <xdr:pic>
      <xdr:nvPicPr>
        <xdr:cNvPr id="46110" name="Picture 3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61925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409575</xdr:colOff>
      <xdr:row>18</xdr:row>
      <xdr:rowOff>66675</xdr:rowOff>
    </xdr:from>
    <xdr:to>
      <xdr:col>20</xdr:col>
      <xdr:colOff>28575</xdr:colOff>
      <xdr:row>26</xdr:row>
      <xdr:rowOff>28575</xdr:rowOff>
    </xdr:to>
    <xdr:pic>
      <xdr:nvPicPr>
        <xdr:cNvPr id="46111" name="Picture 45" descr="Javi Martos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3305175"/>
          <a:ext cx="1143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419100</xdr:colOff>
      <xdr:row>11</xdr:row>
      <xdr:rowOff>28575</xdr:rowOff>
    </xdr:from>
    <xdr:to>
      <xdr:col>20</xdr:col>
      <xdr:colOff>19050</xdr:colOff>
      <xdr:row>18</xdr:row>
      <xdr:rowOff>123825</xdr:rowOff>
    </xdr:to>
    <xdr:pic>
      <xdr:nvPicPr>
        <xdr:cNvPr id="4611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962150"/>
          <a:ext cx="1123950" cy="1228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47625</xdr:colOff>
      <xdr:row>14</xdr:row>
      <xdr:rowOff>123825</xdr:rowOff>
    </xdr:from>
    <xdr:to>
      <xdr:col>12</xdr:col>
      <xdr:colOff>1114425</xdr:colOff>
      <xdr:row>22</xdr:row>
      <xdr:rowOff>66675</xdr:rowOff>
    </xdr:to>
    <xdr:pic>
      <xdr:nvPicPr>
        <xdr:cNvPr id="46113" name="Picture 47" descr="A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5" y="254317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</xdr:row>
      <xdr:rowOff>9525</xdr:rowOff>
    </xdr:from>
    <xdr:to>
      <xdr:col>1</xdr:col>
      <xdr:colOff>266700</xdr:colOff>
      <xdr:row>11</xdr:row>
      <xdr:rowOff>0</xdr:rowOff>
    </xdr:to>
    <xdr:pic>
      <xdr:nvPicPr>
        <xdr:cNvPr id="46114" name="Picture 3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8117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10</xdr:row>
      <xdr:rowOff>9525</xdr:rowOff>
    </xdr:from>
    <xdr:to>
      <xdr:col>2</xdr:col>
      <xdr:colOff>266700</xdr:colOff>
      <xdr:row>11</xdr:row>
      <xdr:rowOff>0</xdr:rowOff>
    </xdr:to>
    <xdr:pic>
      <xdr:nvPicPr>
        <xdr:cNvPr id="46115" name="Picture 4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78117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28576</xdr:colOff>
      <xdr:row>14</xdr:row>
      <xdr:rowOff>28575</xdr:rowOff>
    </xdr:from>
    <xdr:to>
      <xdr:col>15</xdr:col>
      <xdr:colOff>323851</xdr:colOff>
      <xdr:row>22</xdr:row>
      <xdr:rowOff>133350</xdr:rowOff>
    </xdr:to>
    <xdr:pic>
      <xdr:nvPicPr>
        <xdr:cNvPr id="46116" name="Picture 58" descr="Ismael Barrionuevo Moreno 20150929_093144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1" y="2447925"/>
          <a:ext cx="10572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209550</xdr:colOff>
      <xdr:row>10</xdr:row>
      <xdr:rowOff>95250</xdr:rowOff>
    </xdr:from>
    <xdr:to>
      <xdr:col>21</xdr:col>
      <xdr:colOff>590550</xdr:colOff>
      <xdr:row>18</xdr:row>
      <xdr:rowOff>57150</xdr:rowOff>
    </xdr:to>
    <xdr:pic>
      <xdr:nvPicPr>
        <xdr:cNvPr id="46117" name="1 Imagen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875" y="1866900"/>
          <a:ext cx="1143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95251</xdr:colOff>
      <xdr:row>27</xdr:row>
      <xdr:rowOff>9524</xdr:rowOff>
    </xdr:from>
    <xdr:to>
      <xdr:col>6</xdr:col>
      <xdr:colOff>398119</xdr:colOff>
      <xdr:row>35</xdr:row>
      <xdr:rowOff>47447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181601" y="4533899"/>
          <a:ext cx="1064868" cy="133332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9525</xdr:rowOff>
    </xdr:from>
    <xdr:to>
      <xdr:col>1</xdr:col>
      <xdr:colOff>266700</xdr:colOff>
      <xdr:row>12</xdr:row>
      <xdr:rowOff>0</xdr:rowOff>
    </xdr:to>
    <xdr:pic>
      <xdr:nvPicPr>
        <xdr:cNvPr id="42" name="Picture 3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61925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15346</xdr:colOff>
      <xdr:row>11</xdr:row>
      <xdr:rowOff>9524</xdr:rowOff>
    </xdr:from>
    <xdr:to>
      <xdr:col>2</xdr:col>
      <xdr:colOff>276225</xdr:colOff>
      <xdr:row>12</xdr:row>
      <xdr:rowOff>9524</xdr:rowOff>
    </xdr:to>
    <xdr:pic>
      <xdr:nvPicPr>
        <xdr:cNvPr id="43" name="Picture 17" descr="Bandera de El Rubio">
          <a:hlinkClick xmlns:r="http://schemas.openxmlformats.org/officeDocument/2006/relationships" r:id="rId11" tooltip="Bandera de El Rubio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696" y="1943099"/>
          <a:ext cx="260879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</xdr:row>
      <xdr:rowOff>76200</xdr:rowOff>
    </xdr:from>
    <xdr:to>
      <xdr:col>8</xdr:col>
      <xdr:colOff>285750</xdr:colOff>
      <xdr:row>26</xdr:row>
      <xdr:rowOff>133350</xdr:rowOff>
    </xdr:to>
    <xdr:pic>
      <xdr:nvPicPr>
        <xdr:cNvPr id="44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379095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685800</xdr:colOff>
      <xdr:row>21</xdr:row>
      <xdr:rowOff>38100</xdr:rowOff>
    </xdr:from>
    <xdr:to>
      <xdr:col>9</xdr:col>
      <xdr:colOff>561975</xdr:colOff>
      <xdr:row>27</xdr:row>
      <xdr:rowOff>95250</xdr:rowOff>
    </xdr:to>
    <xdr:pic>
      <xdr:nvPicPr>
        <xdr:cNvPr id="45" name="26 Imagen" descr="Escudo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3590925"/>
          <a:ext cx="6381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29</xdr:row>
      <xdr:rowOff>57150</xdr:rowOff>
    </xdr:from>
    <xdr:to>
      <xdr:col>8</xdr:col>
      <xdr:colOff>266700</xdr:colOff>
      <xdr:row>33</xdr:row>
      <xdr:rowOff>0</xdr:rowOff>
    </xdr:to>
    <xdr:pic>
      <xdr:nvPicPr>
        <xdr:cNvPr id="46" name="1 Imagen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905375"/>
          <a:ext cx="1028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714375</xdr:colOff>
      <xdr:row>28</xdr:row>
      <xdr:rowOff>66675</xdr:rowOff>
    </xdr:from>
    <xdr:to>
      <xdr:col>9</xdr:col>
      <xdr:colOff>504825</xdr:colOff>
      <xdr:row>33</xdr:row>
      <xdr:rowOff>95250</xdr:rowOff>
    </xdr:to>
    <xdr:pic>
      <xdr:nvPicPr>
        <xdr:cNvPr id="47" name="22 Imagen" descr="DEU Oberhausen COA.sv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52975"/>
          <a:ext cx="552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111952</xdr:colOff>
      <xdr:row>0</xdr:row>
      <xdr:rowOff>1</xdr:rowOff>
    </xdr:from>
    <xdr:to>
      <xdr:col>12</xdr:col>
      <xdr:colOff>1050099</xdr:colOff>
      <xdr:row>6</xdr:row>
      <xdr:rowOff>115439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27502" y="1"/>
          <a:ext cx="938147" cy="1239388"/>
        </a:xfrm>
        <a:prstGeom prst="rect">
          <a:avLst/>
        </a:prstGeom>
      </xdr:spPr>
    </xdr:pic>
    <xdr:clientData/>
  </xdr:twoCellAnchor>
  <xdr:twoCellAnchor editAs="oneCell">
    <xdr:from>
      <xdr:col>12</xdr:col>
      <xdr:colOff>63199</xdr:colOff>
      <xdr:row>6</xdr:row>
      <xdr:rowOff>133350</xdr:rowOff>
    </xdr:from>
    <xdr:to>
      <xdr:col>12</xdr:col>
      <xdr:colOff>1098852</xdr:colOff>
      <xdr:row>14</xdr:row>
      <xdr:rowOff>85725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178749" y="1257300"/>
          <a:ext cx="1035653" cy="1247775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33338</xdr:colOff>
      <xdr:row>6</xdr:row>
      <xdr:rowOff>47625</xdr:rowOff>
    </xdr:from>
    <xdr:to>
      <xdr:col>15</xdr:col>
      <xdr:colOff>319088</xdr:colOff>
      <xdr:row>14</xdr:row>
      <xdr:rowOff>5942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777663" y="1171575"/>
          <a:ext cx="1047750" cy="1253717"/>
        </a:xfrm>
        <a:prstGeom prst="rect">
          <a:avLst/>
        </a:prstGeom>
      </xdr:spPr>
    </xdr:pic>
    <xdr:clientData/>
  </xdr:twoCellAnchor>
  <xdr:twoCellAnchor editAs="oneCell">
    <xdr:from>
      <xdr:col>12</xdr:col>
      <xdr:colOff>42930</xdr:colOff>
      <xdr:row>22</xdr:row>
      <xdr:rowOff>133350</xdr:rowOff>
    </xdr:from>
    <xdr:to>
      <xdr:col>12</xdr:col>
      <xdr:colOff>1119121</xdr:colOff>
      <xdr:row>30</xdr:row>
      <xdr:rowOff>28426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158480" y="3848100"/>
          <a:ext cx="1076191" cy="11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9525</xdr:rowOff>
    </xdr:from>
    <xdr:to>
      <xdr:col>1</xdr:col>
      <xdr:colOff>266700</xdr:colOff>
      <xdr:row>13</xdr:row>
      <xdr:rowOff>0</xdr:rowOff>
    </xdr:to>
    <xdr:pic>
      <xdr:nvPicPr>
        <xdr:cNvPr id="51" name="Picture 32" descr="400px-Bandera_de_Linares_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9431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28576</xdr:colOff>
      <xdr:row>12</xdr:row>
      <xdr:rowOff>1</xdr:rowOff>
    </xdr:from>
    <xdr:to>
      <xdr:col>2</xdr:col>
      <xdr:colOff>257176</xdr:colOff>
      <xdr:row>12</xdr:row>
      <xdr:rowOff>153787</xdr:rowOff>
    </xdr:to>
    <xdr:pic>
      <xdr:nvPicPr>
        <xdr:cNvPr id="53" name="25 Imagen" descr="Bandera de Bailén.sv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2095501"/>
          <a:ext cx="228600" cy="153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43"/>
  <sheetViews>
    <sheetView showGridLines="0" showRowColHeaders="0" zoomScale="90" zoomScaleNormal="90" workbookViewId="0"/>
  </sheetViews>
  <sheetFormatPr baseColWidth="10" defaultColWidth="0" defaultRowHeight="12.75" zeroHeight="1" x14ac:dyDescent="0.2"/>
  <cols>
    <col min="1" max="2" width="11.42578125" style="11" customWidth="1"/>
    <col min="3" max="3" width="11.7109375" style="11" customWidth="1"/>
    <col min="4" max="6" width="11.42578125" style="11" customWidth="1"/>
    <col min="7" max="7" width="9.42578125" style="11" customWidth="1"/>
    <col min="8" max="8" width="3.42578125" style="11" customWidth="1"/>
    <col min="9" max="9" width="16.28515625" style="16" bestFit="1" customWidth="1"/>
    <col min="10" max="10" width="3" style="16" customWidth="1"/>
    <col min="11" max="11" width="15.140625" style="16" bestFit="1" customWidth="1"/>
    <col min="12" max="12" width="3" style="16" customWidth="1"/>
    <col min="13" max="13" width="8.7109375" style="44" customWidth="1"/>
    <col min="14" max="16" width="11.42578125" style="45" customWidth="1"/>
    <col min="17" max="17" width="11.42578125" style="46" customWidth="1"/>
    <col min="18" max="18" width="5.7109375" style="48" customWidth="1"/>
    <col min="19" max="16384" width="0" style="11" hidden="1"/>
  </cols>
  <sheetData>
    <row r="1" spans="2:18" ht="13.5" thickBot="1" x14ac:dyDescent="0.25">
      <c r="M1" s="303" t="str">
        <f ca="1">IF(M2&gt;DATE(2020,9,27),"Cierre Clasificación Final al comenzar Ronda +1","Sorteo día 28 de septiembre 2020")</f>
        <v>Cierre Clasificación Final al comenzar Ronda +1</v>
      </c>
      <c r="N1" s="304"/>
      <c r="O1" s="304"/>
      <c r="P1" s="304"/>
      <c r="Q1" s="305"/>
      <c r="R1" s="11"/>
    </row>
    <row r="2" spans="2:18" ht="26.25" thickBot="1" x14ac:dyDescent="0.4">
      <c r="B2" s="279" t="s">
        <v>114</v>
      </c>
      <c r="C2" s="280"/>
      <c r="D2" s="280"/>
      <c r="E2" s="280"/>
      <c r="F2" s="280"/>
      <c r="G2" s="280"/>
      <c r="H2" s="280"/>
      <c r="I2" s="280"/>
      <c r="J2" s="280"/>
      <c r="K2" s="281"/>
      <c r="L2" s="11"/>
      <c r="M2" s="52">
        <f ca="1">NOW()</f>
        <v>44548.522529282411</v>
      </c>
      <c r="N2" s="285" t="str">
        <f ca="1">IF(M2&gt;DATE(2020,9,28),"CLASIFICACIÓN MASTER","CLASIFICACIÓN PROVISIONAL")</f>
        <v>CLASIFICACIÓN MASTER</v>
      </c>
      <c r="O2" s="285"/>
      <c r="P2" s="285"/>
      <c r="Q2" s="285"/>
      <c r="R2" s="11"/>
    </row>
    <row r="3" spans="2:18" ht="15" customHeight="1" x14ac:dyDescent="0.2">
      <c r="B3" s="282" t="s">
        <v>167</v>
      </c>
      <c r="C3" s="282"/>
      <c r="D3" s="282"/>
      <c r="E3" s="282"/>
      <c r="F3" s="282"/>
      <c r="G3" s="282"/>
      <c r="H3" s="282"/>
      <c r="I3" s="282"/>
      <c r="J3" s="282"/>
      <c r="K3" s="282"/>
      <c r="L3" s="11"/>
      <c r="M3" s="257">
        <v>1</v>
      </c>
      <c r="N3" s="286" t="s">
        <v>125</v>
      </c>
      <c r="O3" s="286"/>
      <c r="P3" s="286"/>
      <c r="Q3" s="286"/>
      <c r="R3" s="310" t="s">
        <v>70</v>
      </c>
    </row>
    <row r="4" spans="2:18" ht="25.5" thickBot="1" x14ac:dyDescent="0.35">
      <c r="B4" s="283" t="s">
        <v>37</v>
      </c>
      <c r="C4" s="283"/>
      <c r="D4" s="283"/>
      <c r="E4" s="283"/>
      <c r="F4" s="283"/>
      <c r="G4" s="283"/>
      <c r="H4" s="283"/>
      <c r="I4" s="283"/>
      <c r="J4" s="283"/>
      <c r="K4" s="283"/>
      <c r="L4" s="11"/>
      <c r="M4" s="258">
        <v>2</v>
      </c>
      <c r="N4" s="273" t="s">
        <v>126</v>
      </c>
      <c r="O4" s="273"/>
      <c r="P4" s="273"/>
      <c r="Q4" s="274"/>
      <c r="R4" s="311"/>
    </row>
    <row r="5" spans="2:18" s="12" customFormat="1" ht="18" customHeight="1" thickBot="1" x14ac:dyDescent="0.25">
      <c r="I5" s="19" t="s">
        <v>27</v>
      </c>
      <c r="J5" s="13"/>
      <c r="K5" s="19" t="s">
        <v>28</v>
      </c>
      <c r="L5" s="13"/>
      <c r="M5" s="258">
        <v>3</v>
      </c>
      <c r="N5" s="273" t="s">
        <v>127</v>
      </c>
      <c r="O5" s="273"/>
      <c r="P5" s="273"/>
      <c r="Q5" s="274"/>
      <c r="R5" s="311"/>
    </row>
    <row r="6" spans="2:18" s="12" customFormat="1" x14ac:dyDescent="0.2">
      <c r="I6" s="13"/>
      <c r="J6" s="13"/>
      <c r="K6" s="13"/>
      <c r="L6" s="13"/>
      <c r="M6" s="259">
        <v>4</v>
      </c>
      <c r="N6" s="308" t="s">
        <v>128</v>
      </c>
      <c r="O6" s="308"/>
      <c r="P6" s="308"/>
      <c r="Q6" s="309"/>
      <c r="R6" s="311"/>
    </row>
    <row r="7" spans="2:18" s="12" customFormat="1" ht="18" customHeight="1" x14ac:dyDescent="0.2">
      <c r="G7" s="26"/>
      <c r="H7" s="43">
        <v>1</v>
      </c>
      <c r="I7" s="240" t="s">
        <v>118</v>
      </c>
      <c r="J7" s="27"/>
      <c r="K7" s="240" t="s">
        <v>119</v>
      </c>
      <c r="L7" s="27">
        <v>2</v>
      </c>
      <c r="M7" s="265" t="s">
        <v>159</v>
      </c>
      <c r="N7" s="273" t="s">
        <v>129</v>
      </c>
      <c r="O7" s="273"/>
      <c r="P7" s="273"/>
      <c r="Q7" s="274"/>
      <c r="R7" s="311"/>
    </row>
    <row r="8" spans="2:18" s="12" customFormat="1" x14ac:dyDescent="0.2">
      <c r="B8"/>
      <c r="G8" s="26"/>
      <c r="H8" s="43"/>
      <c r="I8" s="27"/>
      <c r="J8" s="27"/>
      <c r="K8" s="27"/>
      <c r="L8" s="27"/>
      <c r="M8" s="265" t="s">
        <v>160</v>
      </c>
      <c r="N8" s="273" t="s">
        <v>130</v>
      </c>
      <c r="O8" s="273"/>
      <c r="P8" s="273"/>
      <c r="Q8" s="274"/>
      <c r="R8" s="311"/>
    </row>
    <row r="9" spans="2:18" s="12" customFormat="1" ht="18" customHeight="1" x14ac:dyDescent="0.2">
      <c r="G9" s="26"/>
      <c r="H9" s="43">
        <v>3</v>
      </c>
      <c r="I9" s="241" t="s">
        <v>120</v>
      </c>
      <c r="J9" s="27"/>
      <c r="K9" s="240" t="s">
        <v>121</v>
      </c>
      <c r="L9" s="246">
        <v>4</v>
      </c>
      <c r="M9" s="265" t="s">
        <v>161</v>
      </c>
      <c r="N9" s="273" t="s">
        <v>131</v>
      </c>
      <c r="O9" s="273"/>
      <c r="P9" s="273"/>
      <c r="Q9" s="274"/>
      <c r="R9" s="311"/>
    </row>
    <row r="10" spans="2:18" s="12" customFormat="1" x14ac:dyDescent="0.2">
      <c r="G10" s="26"/>
      <c r="H10" s="51"/>
      <c r="I10" s="27"/>
      <c r="J10" s="27"/>
      <c r="K10" s="27"/>
      <c r="L10" s="246"/>
      <c r="M10" s="265" t="s">
        <v>162</v>
      </c>
      <c r="N10" s="273" t="s">
        <v>132</v>
      </c>
      <c r="O10" s="273"/>
      <c r="P10" s="273"/>
      <c r="Q10" s="274"/>
      <c r="R10" s="311"/>
    </row>
    <row r="11" spans="2:18" s="12" customFormat="1" ht="18" customHeight="1" x14ac:dyDescent="0.2">
      <c r="G11" s="26"/>
      <c r="H11" s="51">
        <v>5</v>
      </c>
      <c r="I11" s="240" t="s">
        <v>122</v>
      </c>
      <c r="J11" s="27"/>
      <c r="K11" s="240" t="s">
        <v>124</v>
      </c>
      <c r="L11" s="246">
        <v>6</v>
      </c>
      <c r="M11" s="265" t="s">
        <v>163</v>
      </c>
      <c r="N11" s="273" t="s">
        <v>133</v>
      </c>
      <c r="O11" s="273"/>
      <c r="P11" s="273"/>
      <c r="Q11" s="274"/>
      <c r="R11" s="312" t="s">
        <v>71</v>
      </c>
    </row>
    <row r="12" spans="2:18" s="12" customFormat="1" x14ac:dyDescent="0.2">
      <c r="G12"/>
      <c r="H12" s="51"/>
      <c r="I12" s="27"/>
      <c r="J12" s="27"/>
      <c r="K12" s="27"/>
      <c r="L12" s="246"/>
      <c r="M12" s="53">
        <v>10</v>
      </c>
      <c r="N12" s="277" t="s">
        <v>134</v>
      </c>
      <c r="O12" s="277"/>
      <c r="P12" s="277"/>
      <c r="Q12" s="278"/>
      <c r="R12" s="312"/>
    </row>
    <row r="13" spans="2:18" s="12" customFormat="1" ht="18" customHeight="1" x14ac:dyDescent="0.2">
      <c r="G13" s="26"/>
      <c r="H13" s="51">
        <v>8</v>
      </c>
      <c r="I13" s="240" t="s">
        <v>158</v>
      </c>
      <c r="J13" s="27"/>
      <c r="K13" s="240" t="s">
        <v>123</v>
      </c>
      <c r="L13" s="246">
        <v>7</v>
      </c>
      <c r="M13" s="239">
        <v>11</v>
      </c>
      <c r="N13" s="277" t="s">
        <v>135</v>
      </c>
      <c r="O13" s="277"/>
      <c r="P13" s="277"/>
      <c r="Q13" s="278"/>
      <c r="R13" s="312"/>
    </row>
    <row r="14" spans="2:18" s="12" customFormat="1" ht="13.5" thickBot="1" x14ac:dyDescent="0.25">
      <c r="I14" s="13"/>
      <c r="J14" s="13"/>
      <c r="K14" s="13"/>
      <c r="L14" s="13"/>
      <c r="M14" s="53">
        <v>12</v>
      </c>
      <c r="N14" s="277" t="s">
        <v>136</v>
      </c>
      <c r="O14" s="277"/>
      <c r="P14" s="277"/>
      <c r="Q14" s="278"/>
      <c r="R14" s="312"/>
    </row>
    <row r="15" spans="2:18" s="12" customFormat="1" ht="18" customHeight="1" thickBot="1" x14ac:dyDescent="0.25">
      <c r="I15" s="19" t="s">
        <v>30</v>
      </c>
      <c r="J15" s="14"/>
      <c r="K15" s="19" t="s">
        <v>29</v>
      </c>
      <c r="L15" s="14"/>
      <c r="M15" s="252">
        <v>13</v>
      </c>
      <c r="N15" s="275" t="s">
        <v>137</v>
      </c>
      <c r="O15" s="275"/>
      <c r="P15" s="275"/>
      <c r="Q15" s="276"/>
      <c r="R15" s="301" t="s">
        <v>72</v>
      </c>
    </row>
    <row r="16" spans="2:18" s="12" customFormat="1" x14ac:dyDescent="0.2">
      <c r="I16" s="15"/>
      <c r="J16" s="15"/>
      <c r="K16" s="15"/>
      <c r="L16" s="15"/>
      <c r="M16" s="49">
        <v>14</v>
      </c>
      <c r="N16" s="275" t="s">
        <v>138</v>
      </c>
      <c r="O16" s="275"/>
      <c r="P16" s="275"/>
      <c r="Q16" s="276"/>
      <c r="R16" s="302"/>
    </row>
    <row r="17" spans="2:18" s="12" customFormat="1" ht="18" customHeight="1" x14ac:dyDescent="0.2">
      <c r="C17" s="172"/>
      <c r="M17" s="49">
        <v>15</v>
      </c>
      <c r="N17" s="275" t="s">
        <v>139</v>
      </c>
      <c r="O17" s="275"/>
      <c r="P17" s="275"/>
      <c r="Q17" s="276"/>
      <c r="R17" s="302"/>
    </row>
    <row r="18" spans="2:18" x14ac:dyDescent="0.2">
      <c r="M18" s="49">
        <v>16</v>
      </c>
      <c r="N18" s="275" t="s">
        <v>140</v>
      </c>
      <c r="O18" s="275"/>
      <c r="P18" s="275"/>
      <c r="Q18" s="276"/>
      <c r="R18" s="302"/>
    </row>
    <row r="19" spans="2:18" ht="12.75" customHeight="1" x14ac:dyDescent="0.2">
      <c r="B19" s="284" t="s">
        <v>75</v>
      </c>
      <c r="C19" s="284"/>
      <c r="D19" s="284"/>
      <c r="M19" s="49">
        <v>17</v>
      </c>
      <c r="N19" s="275" t="s">
        <v>141</v>
      </c>
      <c r="O19" s="275"/>
      <c r="P19" s="275"/>
      <c r="Q19" s="276"/>
      <c r="R19" s="302"/>
    </row>
    <row r="20" spans="2:18" x14ac:dyDescent="0.2">
      <c r="H20" s="17"/>
      <c r="M20" s="49">
        <v>18</v>
      </c>
      <c r="N20" s="275" t="s">
        <v>142</v>
      </c>
      <c r="O20" s="275"/>
      <c r="P20" s="275"/>
      <c r="Q20" s="276"/>
      <c r="R20" s="302"/>
    </row>
    <row r="21" spans="2:18" x14ac:dyDescent="0.2">
      <c r="E21" s="287"/>
      <c r="F21" s="287"/>
      <c r="G21" s="287"/>
      <c r="H21" s="23"/>
      <c r="M21" s="49">
        <v>19</v>
      </c>
      <c r="N21" s="275" t="s">
        <v>143</v>
      </c>
      <c r="O21" s="275"/>
      <c r="P21" s="275"/>
      <c r="Q21" s="276"/>
      <c r="R21" s="302"/>
    </row>
    <row r="22" spans="2:18" x14ac:dyDescent="0.2">
      <c r="F22" s="22"/>
      <c r="H22" s="24"/>
      <c r="M22" s="49">
        <v>20</v>
      </c>
      <c r="N22" s="275" t="s">
        <v>144</v>
      </c>
      <c r="O22" s="275"/>
      <c r="P22" s="275"/>
      <c r="Q22" s="276"/>
      <c r="R22" s="302"/>
    </row>
    <row r="23" spans="2:18" x14ac:dyDescent="0.2">
      <c r="E23" s="297"/>
      <c r="F23" s="297"/>
      <c r="G23" s="297"/>
      <c r="M23" s="49">
        <v>21</v>
      </c>
      <c r="N23" s="275" t="s">
        <v>145</v>
      </c>
      <c r="O23" s="275"/>
      <c r="P23" s="275"/>
      <c r="Q23" s="276"/>
      <c r="R23" s="302"/>
    </row>
    <row r="24" spans="2:18" ht="13.5" thickBot="1" x14ac:dyDescent="0.25">
      <c r="M24" s="49">
        <v>22</v>
      </c>
      <c r="N24" s="275" t="s">
        <v>146</v>
      </c>
      <c r="O24" s="275"/>
      <c r="P24" s="275"/>
      <c r="Q24" s="276"/>
      <c r="R24" s="302"/>
    </row>
    <row r="25" spans="2:18" ht="12.75" customHeight="1" x14ac:dyDescent="0.2">
      <c r="B25" s="288" t="s">
        <v>104</v>
      </c>
      <c r="C25" s="289"/>
      <c r="D25" s="289"/>
      <c r="E25" s="289"/>
      <c r="F25" s="289"/>
      <c r="G25" s="289"/>
      <c r="H25" s="289"/>
      <c r="I25" s="289"/>
      <c r="J25" s="289"/>
      <c r="K25" s="290"/>
      <c r="M25" s="49">
        <v>23</v>
      </c>
      <c r="N25" s="275" t="s">
        <v>147</v>
      </c>
      <c r="O25" s="275"/>
      <c r="P25" s="275"/>
      <c r="Q25" s="276"/>
      <c r="R25" s="302"/>
    </row>
    <row r="26" spans="2:18" ht="12.75" customHeight="1" x14ac:dyDescent="0.2">
      <c r="B26" s="291"/>
      <c r="C26" s="292"/>
      <c r="D26" s="292"/>
      <c r="E26" s="292"/>
      <c r="F26" s="292"/>
      <c r="G26" s="292"/>
      <c r="H26" s="292"/>
      <c r="I26" s="292"/>
      <c r="J26" s="292"/>
      <c r="K26" s="293"/>
      <c r="M26" s="49">
        <v>24</v>
      </c>
      <c r="N26" s="275" t="s">
        <v>148</v>
      </c>
      <c r="O26" s="275"/>
      <c r="P26" s="275"/>
      <c r="Q26" s="276"/>
      <c r="R26" s="302"/>
    </row>
    <row r="27" spans="2:18" ht="12.75" customHeight="1" x14ac:dyDescent="0.2">
      <c r="B27" s="291"/>
      <c r="C27" s="292"/>
      <c r="D27" s="292"/>
      <c r="E27" s="292"/>
      <c r="F27" s="292"/>
      <c r="G27" s="292"/>
      <c r="H27" s="292"/>
      <c r="I27" s="292"/>
      <c r="J27" s="292"/>
      <c r="K27" s="293"/>
      <c r="M27" s="49">
        <v>25</v>
      </c>
      <c r="N27" s="275" t="s">
        <v>149</v>
      </c>
      <c r="O27" s="275"/>
      <c r="P27" s="275"/>
      <c r="Q27" s="276"/>
      <c r="R27" s="302"/>
    </row>
    <row r="28" spans="2:18" ht="12.75" customHeight="1" x14ac:dyDescent="0.2">
      <c r="B28" s="291"/>
      <c r="C28" s="292"/>
      <c r="D28" s="292"/>
      <c r="E28" s="292"/>
      <c r="F28" s="292"/>
      <c r="G28" s="292"/>
      <c r="H28" s="292"/>
      <c r="I28" s="292"/>
      <c r="J28" s="292"/>
      <c r="K28" s="293"/>
      <c r="M28" s="49">
        <v>26</v>
      </c>
      <c r="N28" s="275" t="s">
        <v>150</v>
      </c>
      <c r="O28" s="275"/>
      <c r="P28" s="275"/>
      <c r="Q28" s="276"/>
      <c r="R28" s="302"/>
    </row>
    <row r="29" spans="2:18" ht="12.75" customHeight="1" x14ac:dyDescent="0.2">
      <c r="B29" s="291"/>
      <c r="C29" s="292"/>
      <c r="D29" s="292"/>
      <c r="E29" s="292"/>
      <c r="F29" s="292"/>
      <c r="G29" s="292"/>
      <c r="H29" s="292"/>
      <c r="I29" s="292"/>
      <c r="J29" s="292"/>
      <c r="K29" s="293"/>
      <c r="M29" s="49">
        <v>27</v>
      </c>
      <c r="N29" s="275" t="s">
        <v>151</v>
      </c>
      <c r="O29" s="275"/>
      <c r="P29" s="275"/>
      <c r="Q29" s="276"/>
      <c r="R29" s="302"/>
    </row>
    <row r="30" spans="2:18" ht="12.75" customHeight="1" x14ac:dyDescent="0.2">
      <c r="B30" s="291"/>
      <c r="C30" s="292"/>
      <c r="D30" s="292"/>
      <c r="E30" s="292"/>
      <c r="F30" s="292"/>
      <c r="G30" s="292"/>
      <c r="H30" s="292"/>
      <c r="I30" s="292"/>
      <c r="J30" s="292"/>
      <c r="K30" s="293"/>
      <c r="M30" s="49">
        <v>28</v>
      </c>
      <c r="N30" s="275" t="s">
        <v>152</v>
      </c>
      <c r="O30" s="275"/>
      <c r="P30" s="275"/>
      <c r="Q30" s="276"/>
      <c r="R30" s="302"/>
    </row>
    <row r="31" spans="2:18" ht="12.75" customHeight="1" x14ac:dyDescent="0.2">
      <c r="B31" s="291"/>
      <c r="C31" s="292"/>
      <c r="D31" s="292"/>
      <c r="E31" s="292"/>
      <c r="F31" s="292"/>
      <c r="G31" s="292"/>
      <c r="H31" s="292"/>
      <c r="I31" s="292"/>
      <c r="J31" s="292"/>
      <c r="K31" s="293"/>
      <c r="M31" s="49"/>
      <c r="N31" s="275"/>
      <c r="O31" s="275"/>
      <c r="P31" s="275"/>
      <c r="Q31" s="276"/>
      <c r="R31" s="302"/>
    </row>
    <row r="32" spans="2:18" ht="12.75" customHeight="1" thickBot="1" x14ac:dyDescent="0.25">
      <c r="B32" s="294"/>
      <c r="C32" s="295"/>
      <c r="D32" s="295"/>
      <c r="E32" s="295"/>
      <c r="F32" s="295"/>
      <c r="G32" s="295"/>
      <c r="H32" s="295"/>
      <c r="I32" s="295"/>
      <c r="J32" s="295"/>
      <c r="K32" s="296"/>
      <c r="M32" s="49"/>
      <c r="N32" s="275"/>
      <c r="O32" s="275"/>
      <c r="P32" s="275"/>
      <c r="Q32" s="276"/>
      <c r="R32" s="302"/>
    </row>
    <row r="33" spans="1:18" ht="12.75" customHeight="1" x14ac:dyDescent="0.2">
      <c r="B33" s="41"/>
      <c r="C33" s="41"/>
      <c r="D33" s="41"/>
      <c r="E33" s="41"/>
      <c r="F33" s="41"/>
      <c r="G33" s="41"/>
      <c r="H33" s="41"/>
      <c r="I33" s="41"/>
      <c r="J33" s="41"/>
      <c r="K33" s="41" t="s">
        <v>82</v>
      </c>
      <c r="M33" s="49"/>
      <c r="N33" s="275"/>
      <c r="O33" s="275"/>
      <c r="P33" s="275"/>
      <c r="Q33" s="276"/>
      <c r="R33" s="302"/>
    </row>
    <row r="34" spans="1:18" ht="12.75" customHeight="1" x14ac:dyDescent="0.2">
      <c r="A34" s="298" t="s">
        <v>166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300"/>
      <c r="M34" s="49"/>
      <c r="N34" s="275"/>
      <c r="O34" s="275"/>
      <c r="P34" s="275"/>
      <c r="Q34" s="276"/>
      <c r="R34" s="302"/>
    </row>
    <row r="35" spans="1:18" ht="12.75" customHeight="1" x14ac:dyDescent="0.2">
      <c r="A35" s="299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300"/>
      <c r="M35" s="49"/>
      <c r="N35" s="275"/>
      <c r="O35" s="275"/>
      <c r="P35" s="275"/>
      <c r="Q35" s="276"/>
      <c r="R35" s="302"/>
    </row>
    <row r="36" spans="1:18" ht="12.75" customHeight="1" x14ac:dyDescent="0.2">
      <c r="A36" s="299"/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300"/>
      <c r="M36" s="49"/>
      <c r="N36" s="275"/>
      <c r="O36" s="275"/>
      <c r="P36" s="275"/>
      <c r="Q36" s="276"/>
      <c r="R36" s="302"/>
    </row>
    <row r="37" spans="1:18" ht="12.75" customHeight="1" x14ac:dyDescent="0.2">
      <c r="A37" s="299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300"/>
      <c r="M37" s="49"/>
      <c r="N37" s="275"/>
      <c r="O37" s="275"/>
      <c r="P37" s="275"/>
      <c r="Q37" s="276"/>
      <c r="R37" s="302"/>
    </row>
    <row r="38" spans="1:18" ht="12.75" customHeight="1" x14ac:dyDescent="0.2">
      <c r="A38" s="260"/>
      <c r="B38" s="260"/>
      <c r="C38" s="260"/>
      <c r="D38" s="260"/>
      <c r="E38" s="260"/>
      <c r="F38" s="260"/>
      <c r="G38" s="260"/>
      <c r="H38" s="260"/>
      <c r="I38" s="261"/>
      <c r="J38" s="261"/>
      <c r="K38" s="261"/>
      <c r="L38" s="261"/>
      <c r="M38" s="262"/>
      <c r="N38" s="306"/>
      <c r="O38" s="306"/>
      <c r="P38" s="306"/>
      <c r="Q38" s="307"/>
      <c r="R38" s="263"/>
    </row>
    <row r="39" spans="1:18" ht="12.75" customHeight="1" x14ac:dyDescent="0.2">
      <c r="M39" s="49"/>
      <c r="N39" s="275"/>
      <c r="O39" s="275"/>
      <c r="P39" s="275"/>
      <c r="Q39" s="276"/>
      <c r="R39" s="255"/>
    </row>
    <row r="40" spans="1:18" ht="12.75" customHeight="1" x14ac:dyDescent="0.2">
      <c r="M40" s="49"/>
      <c r="N40" s="275"/>
      <c r="O40" s="275"/>
      <c r="P40" s="275"/>
      <c r="Q40" s="276"/>
      <c r="R40" s="255"/>
    </row>
    <row r="41" spans="1:18" ht="12.75" customHeight="1" x14ac:dyDescent="0.2">
      <c r="M41" s="50"/>
      <c r="N41" s="275"/>
      <c r="O41" s="275"/>
      <c r="P41" s="275"/>
      <c r="Q41" s="276"/>
      <c r="R41" s="256"/>
    </row>
    <row r="42" spans="1:18" ht="12.75" hidden="1" customHeight="1" x14ac:dyDescent="0.2">
      <c r="L42"/>
      <c r="M42"/>
      <c r="N42"/>
      <c r="O42"/>
      <c r="P42"/>
      <c r="Q42"/>
      <c r="R42" s="47"/>
    </row>
    <row r="43" spans="1:18" ht="12.75" hidden="1" customHeight="1" x14ac:dyDescent="0.2">
      <c r="L43"/>
      <c r="M43"/>
      <c r="N43"/>
      <c r="O43"/>
      <c r="P43"/>
      <c r="Q43"/>
      <c r="R43" s="47"/>
    </row>
  </sheetData>
  <sheetProtection sheet="1" objects="1" scenarios="1"/>
  <mergeCells count="52">
    <mergeCell ref="R15:R37"/>
    <mergeCell ref="M1:Q1"/>
    <mergeCell ref="N41:Q41"/>
    <mergeCell ref="N33:Q33"/>
    <mergeCell ref="N34:Q34"/>
    <mergeCell ref="N28:Q28"/>
    <mergeCell ref="N35:Q35"/>
    <mergeCell ref="N38:Q38"/>
    <mergeCell ref="N6:Q6"/>
    <mergeCell ref="N12:Q12"/>
    <mergeCell ref="N5:Q5"/>
    <mergeCell ref="R3:R10"/>
    <mergeCell ref="R11:R14"/>
    <mergeCell ref="N39:Q39"/>
    <mergeCell ref="N9:Q9"/>
    <mergeCell ref="N40:Q40"/>
    <mergeCell ref="B25:K32"/>
    <mergeCell ref="E23:G23"/>
    <mergeCell ref="N18:Q18"/>
    <mergeCell ref="N23:Q23"/>
    <mergeCell ref="A34:L37"/>
    <mergeCell ref="N31:Q31"/>
    <mergeCell ref="N32:Q32"/>
    <mergeCell ref="N24:Q24"/>
    <mergeCell ref="N36:Q36"/>
    <mergeCell ref="N30:Q30"/>
    <mergeCell ref="N37:Q37"/>
    <mergeCell ref="N26:Q26"/>
    <mergeCell ref="N27:Q27"/>
    <mergeCell ref="B2:K2"/>
    <mergeCell ref="B3:K3"/>
    <mergeCell ref="B4:K4"/>
    <mergeCell ref="N20:Q20"/>
    <mergeCell ref="N21:Q21"/>
    <mergeCell ref="B19:D19"/>
    <mergeCell ref="N13:Q13"/>
    <mergeCell ref="N2:Q2"/>
    <mergeCell ref="N3:Q3"/>
    <mergeCell ref="N4:Q4"/>
    <mergeCell ref="N7:Q7"/>
    <mergeCell ref="N15:Q15"/>
    <mergeCell ref="N16:Q16"/>
    <mergeCell ref="E21:G21"/>
    <mergeCell ref="N11:Q11"/>
    <mergeCell ref="N8:Q8"/>
    <mergeCell ref="N10:Q10"/>
    <mergeCell ref="N29:Q29"/>
    <mergeCell ref="N22:Q22"/>
    <mergeCell ref="N14:Q14"/>
    <mergeCell ref="N17:Q17"/>
    <mergeCell ref="N19:Q19"/>
    <mergeCell ref="N25:Q25"/>
  </mergeCells>
  <phoneticPr fontId="26" type="noConversion"/>
  <hyperlinks>
    <hyperlink ref="I5" location="'- A -'!A1" display="Grupo A"/>
    <hyperlink ref="K5" location="'- B -'!A1" display="Grupo B"/>
    <hyperlink ref="I15" location="Semifinal!A1" display="SemiFinal"/>
    <hyperlink ref="K15" location="'3er puesto y FINAL'!A1" display="FINAL"/>
    <hyperlink ref="R11:R14" location="Menu!A34" display="Suplentes"/>
    <hyperlink ref="B19:D19" location="Resumen!A1" display="Fixture ( para imprimir )"/>
  </hyperlinks>
  <pageMargins left="0.39370078740157483" right="0" top="0.98425196850393704" bottom="0.98425196850393704" header="0" footer="0"/>
  <pageSetup paperSize="9" scale="7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AM55"/>
  <sheetViews>
    <sheetView workbookViewId="0">
      <selection activeCell="D23" sqref="D23"/>
    </sheetView>
  </sheetViews>
  <sheetFormatPr baseColWidth="10" defaultColWidth="3.7109375" defaultRowHeight="12.75" x14ac:dyDescent="0.2"/>
  <cols>
    <col min="1" max="1" width="12.85546875" customWidth="1"/>
    <col min="2" max="4" width="3.5703125" bestFit="1" customWidth="1"/>
    <col min="5" max="5" width="10.42578125" customWidth="1"/>
    <col min="6" max="6" width="11.42578125" customWidth="1"/>
    <col min="10" max="10" width="3.7109375" customWidth="1"/>
    <col min="36" max="37" width="4.5703125" bestFit="1" customWidth="1"/>
    <col min="38" max="38" width="4.42578125" bestFit="1" customWidth="1"/>
  </cols>
  <sheetData>
    <row r="2" spans="1:39" x14ac:dyDescent="0.2">
      <c r="A2" s="316" t="s">
        <v>22</v>
      </c>
      <c r="B2" s="316"/>
      <c r="C2" s="316"/>
      <c r="D2" s="316"/>
      <c r="E2" s="316"/>
      <c r="G2" t="str">
        <f>IF('- B -'!Q7&lt;&gt;"",'- B -'!Q7,"")</f>
        <v>Javier Cabello</v>
      </c>
      <c r="N2" t="str">
        <f>IF('- B -'!Q9&lt;&gt;"",'- B -'!Q9,"")</f>
        <v>Luis C. Torres</v>
      </c>
      <c r="U2" t="str">
        <f>IF('- B -'!Q11&lt;&gt;"",'- B -'!Q11,"")</f>
        <v>Isma Barrionuevo</v>
      </c>
      <c r="AB2" t="str">
        <f>IF('- B -'!Q13&lt;&gt;"",'- B -'!Q13,"")</f>
        <v>Fernando Sanz</v>
      </c>
    </row>
    <row r="3" spans="1:39" x14ac:dyDescent="0.2">
      <c r="F3" t="s">
        <v>34</v>
      </c>
      <c r="G3" t="s">
        <v>58</v>
      </c>
      <c r="H3" t="s">
        <v>59</v>
      </c>
      <c r="I3" t="s">
        <v>5</v>
      </c>
      <c r="J3" t="s">
        <v>62</v>
      </c>
      <c r="K3" t="s">
        <v>63</v>
      </c>
      <c r="L3" t="s">
        <v>66</v>
      </c>
      <c r="N3" t="s">
        <v>58</v>
      </c>
      <c r="O3" t="s">
        <v>59</v>
      </c>
      <c r="P3" t="s">
        <v>5</v>
      </c>
      <c r="Q3" t="s">
        <v>62</v>
      </c>
      <c r="R3" t="s">
        <v>63</v>
      </c>
      <c r="S3" t="s">
        <v>66</v>
      </c>
      <c r="U3" t="s">
        <v>58</v>
      </c>
      <c r="V3" t="s">
        <v>59</v>
      </c>
      <c r="W3" t="s">
        <v>5</v>
      </c>
      <c r="X3" t="s">
        <v>62</v>
      </c>
      <c r="Y3" t="s">
        <v>63</v>
      </c>
      <c r="Z3" t="s">
        <v>66</v>
      </c>
      <c r="AB3" t="s">
        <v>58</v>
      </c>
      <c r="AC3" t="s">
        <v>59</v>
      </c>
      <c r="AD3" t="s">
        <v>5</v>
      </c>
      <c r="AE3" t="s">
        <v>62</v>
      </c>
      <c r="AF3" t="s">
        <v>63</v>
      </c>
      <c r="AG3" t="s">
        <v>66</v>
      </c>
    </row>
    <row r="4" spans="1:39" x14ac:dyDescent="0.2">
      <c r="A4" s="2" t="str">
        <f>'- B -'!B6</f>
        <v>Javier Cabello</v>
      </c>
      <c r="B4" s="1" t="str">
        <f>IF('- B -'!C6&lt;&gt;"",'- B -'!C6,"")</f>
        <v>6/4</v>
      </c>
      <c r="C4" s="1" t="str">
        <f>IF('- B -'!D6&lt;&gt;"",'- B -'!D6,"")</f>
        <v>6/4</v>
      </c>
      <c r="D4" s="1" t="str">
        <f>IF('- B -'!E6&lt;&gt;"",'- B -'!E6,"")</f>
        <v>-</v>
      </c>
      <c r="E4" s="3" t="str">
        <f>'- B -'!F6</f>
        <v>Fernando Sanz</v>
      </c>
      <c r="F4" s="1">
        <f>COUNTBLANK('- B -'!C6:'- B -'!E6)</f>
        <v>0</v>
      </c>
      <c r="G4" s="40">
        <f>IF(AND($F4=0,OR($A4=$G$2,$E4=$G$2)),1,0)</f>
        <v>1</v>
      </c>
      <c r="H4" s="40">
        <f>IF(AND($F4=0,$A4=$G$2,$AM4=1),1,IF(AND($F4=0,$E4=$G$2,$AM4=2),1,0))</f>
        <v>1</v>
      </c>
      <c r="I4" s="40">
        <f>IF(AND($F4=0,G4=1,H4=0),1,0)</f>
        <v>0</v>
      </c>
      <c r="J4" s="40">
        <f t="shared" ref="J4:J9" si="0">IF(AND(F4=0,$A4=$G$2),COUNTIF(AJ4:AL4,"&gt;0"),IF(AND(F4=0,$E4=$G$2),COUNTIF(AJ4:AL4,"&lt;0"),0))</f>
        <v>2</v>
      </c>
      <c r="K4" s="40">
        <f t="shared" ref="K4:K9" si="1">IF(AND(F4=0,$A4=$G$2),COUNTIF(AJ4:AL4,"&lt;0"),IF(AND(F4=0,$E4=$G$2),COUNTIF(AJ4:AL4,"&gt;0"),0))</f>
        <v>0</v>
      </c>
      <c r="L4" s="40">
        <f t="shared" ref="L4:L9" si="2">IF(AND(F4=0,$A4=$G$2),SUM(AJ4:AL4),IF(AND(F4=0,$E4=$G$2),-SUM(AJ4:AL4),0))</f>
        <v>4</v>
      </c>
      <c r="N4" s="40">
        <f t="shared" ref="N4:N9" si="3">IF(AND($F4=0,OR($A4=$N$2,$E4=$N$2)),1,0)</f>
        <v>0</v>
      </c>
      <c r="O4" s="40">
        <f t="shared" ref="O4:O9" si="4">IF(AND($F4=0,$A4=$N$2,$AM4=1),1,IF(AND($F4=0,$E4=$N$2,$AM4=2),1,0))</f>
        <v>0</v>
      </c>
      <c r="P4" s="40">
        <f t="shared" ref="P4:P9" si="5">IF(AND($F4=0,N4=1,O4=0),1,0)</f>
        <v>0</v>
      </c>
      <c r="Q4" s="40">
        <f t="shared" ref="Q4:Q9" si="6">IF(AND($F4=0,$A4=$N$2),COUNTIF($AJ4:$AL4,"&gt;0"),IF(AND($F4=0,$E4=$N$2),COUNTIF($AJ4:$AL4,"&lt;0"),0))</f>
        <v>0</v>
      </c>
      <c r="R4" s="40">
        <f t="shared" ref="R4:R9" si="7">IF(AND($F4=0,$A4=$N$2),COUNTIF($AJ4:$AL4,"&lt;0"),IF(AND($F4=0,$E4=$N$2),COUNTIF($AJ4:$AL4,"&gt;0"),0))</f>
        <v>0</v>
      </c>
      <c r="S4" s="40">
        <f t="shared" ref="S4:S9" si="8">IF(AND($F4=0,$A4=$N$2),SUM($AJ4:$AL4),IF(AND($F4=0,$E4=$N$2),-SUM($AJ4:$AL4),0))</f>
        <v>0</v>
      </c>
      <c r="U4" s="40">
        <f t="shared" ref="U4:U9" si="9">IF(AND($F4=0,OR($A4=$U$2,$E4=$U$2)),1,0)</f>
        <v>0</v>
      </c>
      <c r="V4" s="40">
        <f t="shared" ref="V4:V9" si="10">IF(AND($F4=0,$A4=$U$2,$AM4=1),1,IF(AND($F4=0,$E4=$U$2,$AM4=2),1,0))</f>
        <v>0</v>
      </c>
      <c r="W4" s="40">
        <f t="shared" ref="W4:W9" si="11">IF(AND($F4=0,U4=1,V4=0),1,0)</f>
        <v>0</v>
      </c>
      <c r="X4" s="40">
        <f t="shared" ref="X4:X9" si="12">IF(AND($F4=0,$A4=$U$2),COUNTIF($AJ4:$AL4,"&gt;0"),IF(AND($F4=0,$E4=$U$2),COUNTIF($AJ4:$AL4,"&lt;0"),0))</f>
        <v>0</v>
      </c>
      <c r="Y4" s="40">
        <f t="shared" ref="Y4:Y9" si="13">IF(AND($F4=0,$A4=$U$2),COUNTIF($AJ4:$AL4,"&lt;0"),IF(AND($F4=0,$E4=$U$2),COUNTIF($AJ4:$AL4,"&gt;0"),0))</f>
        <v>0</v>
      </c>
      <c r="Z4" s="40">
        <f t="shared" ref="Z4:Z9" si="14">IF(AND($F4=0,$A4=$U$2),SUM($AJ4:$AL4),IF(AND($F4=0,$E4=$U$2),-SUM($AJ4:$AL4),0))</f>
        <v>0</v>
      </c>
      <c r="AB4" s="40">
        <f t="shared" ref="AB4:AB9" si="15">IF(AND($F4=0,OR($A4=$AB$2,$E4=$AB$2)),1,0)</f>
        <v>1</v>
      </c>
      <c r="AC4" s="40">
        <f t="shared" ref="AC4:AC9" si="16">IF(AND($F4=0,$A4=$AB$2,$AM4=1),1,IF(AND($F4=0,$E4=$AB$2,$AM4=2),1,0))</f>
        <v>0</v>
      </c>
      <c r="AD4" s="40">
        <f t="shared" ref="AD4:AD9" si="17">IF(AND($F4=0,AB4=1,AC4=0),1,0)</f>
        <v>1</v>
      </c>
      <c r="AE4" s="40">
        <f t="shared" ref="AE4:AE9" si="18">IF(AND($F4=0,$A4=$AB$2),COUNTIF($AJ4:$AL4,"&gt;0"),IF(AND($F4=0,$E4=$AB$2),COUNTIF($AJ4:$AL4,"&lt;0"),0))</f>
        <v>0</v>
      </c>
      <c r="AF4" s="40">
        <f t="shared" ref="AF4:AF9" si="19">IF(AND($F4=0,$A4=$AB$2),COUNTIF($AJ4:$AL4,"&lt;0"),IF(AND($F4=0,$E4=$AB$2),COUNTIF($AJ4:$AL4,"&gt;0"),0))</f>
        <v>2</v>
      </c>
      <c r="AG4" s="40">
        <f t="shared" ref="AG4:AG9" si="20">IF(AND($F4=0,$A4=$AB$2),SUM($AJ4:$AL4),IF(AND($F4=0,$E4=$AB$2),-SUM($AJ4:$AL4),0))</f>
        <v>-4</v>
      </c>
      <c r="AJ4" s="38">
        <f>IF('- B -'!C6&lt;&gt;"",VLOOKUP('- B -'!C6,'- B -'!$X$3:$Y$17,2,0),"")</f>
        <v>2</v>
      </c>
      <c r="AK4" s="38">
        <f>IF('- B -'!D6&lt;&gt;"",VLOOKUP('- B -'!D6,'- B -'!$X$3:$Y$17,2,0),"")</f>
        <v>2</v>
      </c>
      <c r="AL4" s="38">
        <f>IF('- B -'!E6&lt;&gt;"",VLOOKUP('- B -'!E6,'- B -'!$X$3:$Y$18,2,0),"")</f>
        <v>0</v>
      </c>
      <c r="AM4" s="39">
        <f t="shared" ref="AM4:AM9" si="21">IF(AJ4&lt;&gt;"",IF(COUNTIF(AJ4:AL4,"&gt;1")&gt;1,1,2),"")</f>
        <v>1</v>
      </c>
    </row>
    <row r="5" spans="1:39" x14ac:dyDescent="0.2">
      <c r="A5" s="2" t="str">
        <f>'- B -'!B7</f>
        <v>Isma Barrionuevo</v>
      </c>
      <c r="B5" s="1" t="str">
        <f>IF('- B -'!C7&lt;&gt;"",'- B -'!C7,"")</f>
        <v>6/3</v>
      </c>
      <c r="C5" s="1" t="str">
        <f>IF('- B -'!D7&lt;&gt;"",'- B -'!D7,"")</f>
        <v>7/5</v>
      </c>
      <c r="D5" s="1" t="str">
        <f>IF('- B -'!E7&lt;&gt;"",'- B -'!E7,"")</f>
        <v>-</v>
      </c>
      <c r="E5" s="3" t="str">
        <f>'- B -'!F7</f>
        <v>Luis C. Torres</v>
      </c>
      <c r="F5" s="1">
        <f>COUNTBLANK('- B -'!C7:'- B -'!E7)</f>
        <v>0</v>
      </c>
      <c r="G5" s="40">
        <f>IF(AND(F5=0,OR($A5=$G$2,$E5=$G$2)),1,0)</f>
        <v>0</v>
      </c>
      <c r="H5" s="40">
        <f>IF(AND(F5=0,$A5=$G$2,$AM5=1),1,IF(AND(F5=0,$E5=$G$2,$AM5=2),1,0))</f>
        <v>0</v>
      </c>
      <c r="I5" s="40">
        <f>IF(AND(F5=0,G5=1,$H5=0),1,0)</f>
        <v>0</v>
      </c>
      <c r="J5" s="40">
        <f t="shared" si="0"/>
        <v>0</v>
      </c>
      <c r="K5" s="40">
        <f t="shared" si="1"/>
        <v>0</v>
      </c>
      <c r="L5" s="40">
        <f t="shared" si="2"/>
        <v>0</v>
      </c>
      <c r="N5" s="40">
        <f t="shared" si="3"/>
        <v>1</v>
      </c>
      <c r="O5" s="40">
        <f t="shared" si="4"/>
        <v>0</v>
      </c>
      <c r="P5" s="40">
        <f t="shared" si="5"/>
        <v>1</v>
      </c>
      <c r="Q5" s="40">
        <f t="shared" si="6"/>
        <v>0</v>
      </c>
      <c r="R5" s="40">
        <f t="shared" si="7"/>
        <v>2</v>
      </c>
      <c r="S5" s="40">
        <f t="shared" si="8"/>
        <v>-5</v>
      </c>
      <c r="U5" s="40">
        <f t="shared" si="9"/>
        <v>1</v>
      </c>
      <c r="V5" s="40">
        <f t="shared" si="10"/>
        <v>1</v>
      </c>
      <c r="W5" s="40">
        <f t="shared" si="11"/>
        <v>0</v>
      </c>
      <c r="X5" s="40">
        <f t="shared" si="12"/>
        <v>2</v>
      </c>
      <c r="Y5" s="40">
        <f t="shared" si="13"/>
        <v>0</v>
      </c>
      <c r="Z5" s="40">
        <f t="shared" si="14"/>
        <v>5</v>
      </c>
      <c r="AB5" s="40">
        <f t="shared" si="15"/>
        <v>0</v>
      </c>
      <c r="AC5" s="40">
        <f t="shared" si="16"/>
        <v>0</v>
      </c>
      <c r="AD5" s="40">
        <f t="shared" si="17"/>
        <v>0</v>
      </c>
      <c r="AE5" s="40">
        <f t="shared" si="18"/>
        <v>0</v>
      </c>
      <c r="AF5" s="40">
        <f t="shared" si="19"/>
        <v>0</v>
      </c>
      <c r="AG5" s="40">
        <f t="shared" si="20"/>
        <v>0</v>
      </c>
      <c r="AJ5" s="38">
        <f>IF('- B -'!C7&lt;&gt;"",VLOOKUP('- B -'!C7,'- B -'!$X$3:$Y$17,2,0),"")</f>
        <v>3</v>
      </c>
      <c r="AK5" s="38">
        <f>IF('- B -'!D7&lt;&gt;"",VLOOKUP('- B -'!D7,'- B -'!$X$3:$Y$17,2,0),"")</f>
        <v>2</v>
      </c>
      <c r="AL5" s="38">
        <f>IF('- B -'!E7&lt;&gt;"",VLOOKUP('- B -'!E7,'- B -'!$X$3:$Y$18,2,0),"")</f>
        <v>0</v>
      </c>
      <c r="AM5" s="39">
        <f t="shared" si="21"/>
        <v>1</v>
      </c>
    </row>
    <row r="6" spans="1:39" x14ac:dyDescent="0.2">
      <c r="A6" s="2" t="str">
        <f>'- B -'!B8</f>
        <v>Javier Cabello</v>
      </c>
      <c r="B6" s="1" t="str">
        <f>IF('- B -'!C8&lt;&gt;"",'- B -'!C8,"")</f>
        <v>6/1</v>
      </c>
      <c r="C6" s="1" t="str">
        <f>IF('- B -'!D8&lt;&gt;"",'- B -'!D8,"")</f>
        <v>6/4</v>
      </c>
      <c r="D6" s="1" t="str">
        <f>IF('- B -'!E8&lt;&gt;"",'- B -'!E8,"")</f>
        <v>-</v>
      </c>
      <c r="E6" s="3" t="str">
        <f>'- B -'!F8</f>
        <v>Isma Barrionuevo</v>
      </c>
      <c r="F6" s="1">
        <f>COUNTBLANK('- B -'!C8:'- B -'!E8)</f>
        <v>0</v>
      </c>
      <c r="G6" s="40">
        <f>IF(AND(F6=0,OR($A6=$G$2,$E6=$G$2)),1,0)</f>
        <v>1</v>
      </c>
      <c r="H6" s="40">
        <f>IF(AND(F6=0,$A6=$G$2,$AM6=1),1,IF(AND(F6=0,$E6=$G$2,$AM6=2),1,0))</f>
        <v>1</v>
      </c>
      <c r="I6" s="40">
        <f>IF(AND(F6=0,G6=1,$H6=0),1,0)</f>
        <v>0</v>
      </c>
      <c r="J6" s="40">
        <f t="shared" si="0"/>
        <v>2</v>
      </c>
      <c r="K6" s="40">
        <f t="shared" si="1"/>
        <v>0</v>
      </c>
      <c r="L6" s="40">
        <f t="shared" si="2"/>
        <v>7</v>
      </c>
      <c r="N6" s="40">
        <f t="shared" si="3"/>
        <v>0</v>
      </c>
      <c r="O6" s="40">
        <f t="shared" si="4"/>
        <v>0</v>
      </c>
      <c r="P6" s="40">
        <f t="shared" si="5"/>
        <v>0</v>
      </c>
      <c r="Q6" s="40">
        <f t="shared" si="6"/>
        <v>0</v>
      </c>
      <c r="R6" s="40">
        <f t="shared" si="7"/>
        <v>0</v>
      </c>
      <c r="S6" s="40">
        <f t="shared" si="8"/>
        <v>0</v>
      </c>
      <c r="U6" s="40">
        <f t="shared" si="9"/>
        <v>1</v>
      </c>
      <c r="V6" s="40">
        <f t="shared" si="10"/>
        <v>0</v>
      </c>
      <c r="W6" s="40">
        <f t="shared" si="11"/>
        <v>1</v>
      </c>
      <c r="X6" s="40">
        <f t="shared" si="12"/>
        <v>0</v>
      </c>
      <c r="Y6" s="40">
        <f t="shared" si="13"/>
        <v>2</v>
      </c>
      <c r="Z6" s="40">
        <f t="shared" si="14"/>
        <v>-7</v>
      </c>
      <c r="AB6" s="40">
        <f t="shared" si="15"/>
        <v>0</v>
      </c>
      <c r="AC6" s="40">
        <f t="shared" si="16"/>
        <v>0</v>
      </c>
      <c r="AD6" s="40">
        <f t="shared" si="17"/>
        <v>0</v>
      </c>
      <c r="AE6" s="40">
        <f t="shared" si="18"/>
        <v>0</v>
      </c>
      <c r="AF6" s="40">
        <f t="shared" si="19"/>
        <v>0</v>
      </c>
      <c r="AG6" s="40">
        <f t="shared" si="20"/>
        <v>0</v>
      </c>
      <c r="AJ6" s="38">
        <f>IF('- B -'!C8&lt;&gt;"",VLOOKUP('- B -'!C8,'- B -'!$X$3:$Y$17,2,0),"")</f>
        <v>5</v>
      </c>
      <c r="AK6" s="38">
        <f>IF('- B -'!D8&lt;&gt;"",VLOOKUP('- B -'!D8,'- B -'!$X$3:$Y$17,2,0),"")</f>
        <v>2</v>
      </c>
      <c r="AL6" s="38">
        <f>IF('- B -'!E8&lt;&gt;"",VLOOKUP('- B -'!E8,'- B -'!$X$3:$Y$18,2,0),"")</f>
        <v>0</v>
      </c>
      <c r="AM6" s="39">
        <f t="shared" si="21"/>
        <v>1</v>
      </c>
    </row>
    <row r="7" spans="1:39" x14ac:dyDescent="0.2">
      <c r="A7" s="2" t="str">
        <f>'- B -'!B9</f>
        <v>Fernando Sanz</v>
      </c>
      <c r="B7" s="1" t="str">
        <f>IF('- B -'!C9&lt;&gt;"",'- B -'!C9,"")</f>
        <v>7/5</v>
      </c>
      <c r="C7" s="1" t="str">
        <f>IF('- B -'!D9&lt;&gt;"",'- B -'!D9,"")</f>
        <v>1/6</v>
      </c>
      <c r="D7" s="1" t="str">
        <f>IF('- B -'!E9&lt;&gt;"",'- B -'!E9,"")</f>
        <v>7/6</v>
      </c>
      <c r="E7" s="3" t="str">
        <f>'- B -'!F9</f>
        <v>Luis C. Torres</v>
      </c>
      <c r="F7" s="1">
        <f>COUNTBLANK('- B -'!C9:'- B -'!E9)</f>
        <v>0</v>
      </c>
      <c r="G7" s="40">
        <f>IF(AND(F7=0,OR($A7=$G$2,$E7=$G$2)),1,0)</f>
        <v>0</v>
      </c>
      <c r="H7" s="40">
        <f>IF(AND(F7=0,$A7=$G$2,$AM7=1),1,IF(AND(F7=0,$E7=$G$2,$AM7=2),1,0))</f>
        <v>0</v>
      </c>
      <c r="I7" s="40">
        <f>IF(AND(F7=0,G7=1,$H7=0),1,0)</f>
        <v>0</v>
      </c>
      <c r="J7" s="40">
        <f t="shared" si="0"/>
        <v>0</v>
      </c>
      <c r="K7" s="40">
        <f t="shared" si="1"/>
        <v>0</v>
      </c>
      <c r="L7" s="40">
        <f t="shared" si="2"/>
        <v>0</v>
      </c>
      <c r="N7" s="40">
        <f t="shared" si="3"/>
        <v>1</v>
      </c>
      <c r="O7" s="40">
        <f t="shared" si="4"/>
        <v>0</v>
      </c>
      <c r="P7" s="40">
        <f t="shared" si="5"/>
        <v>1</v>
      </c>
      <c r="Q7" s="40">
        <f t="shared" si="6"/>
        <v>1</v>
      </c>
      <c r="R7" s="40">
        <f t="shared" si="7"/>
        <v>2</v>
      </c>
      <c r="S7" s="40">
        <f t="shared" si="8"/>
        <v>1.99</v>
      </c>
      <c r="U7" s="40">
        <f t="shared" si="9"/>
        <v>0</v>
      </c>
      <c r="V7" s="40">
        <f t="shared" si="10"/>
        <v>0</v>
      </c>
      <c r="W7" s="40">
        <f t="shared" si="11"/>
        <v>0</v>
      </c>
      <c r="X7" s="40">
        <f t="shared" si="12"/>
        <v>0</v>
      </c>
      <c r="Y7" s="40">
        <f t="shared" si="13"/>
        <v>0</v>
      </c>
      <c r="Z7" s="40">
        <f t="shared" si="14"/>
        <v>0</v>
      </c>
      <c r="AB7" s="40">
        <f t="shared" si="15"/>
        <v>1</v>
      </c>
      <c r="AC7" s="40">
        <f t="shared" si="16"/>
        <v>1</v>
      </c>
      <c r="AD7" s="40">
        <f t="shared" si="17"/>
        <v>0</v>
      </c>
      <c r="AE7" s="40">
        <f t="shared" si="18"/>
        <v>2</v>
      </c>
      <c r="AF7" s="40">
        <f t="shared" si="19"/>
        <v>1</v>
      </c>
      <c r="AG7" s="40">
        <f t="shared" si="20"/>
        <v>-1.99</v>
      </c>
      <c r="AJ7" s="38">
        <f>IF('- B -'!C9&lt;&gt;"",VLOOKUP('- B -'!C9,'- B -'!$X$3:$Y$17,2,0),"")</f>
        <v>2</v>
      </c>
      <c r="AK7" s="38">
        <f>IF('- B -'!D9&lt;&gt;"",VLOOKUP('- B -'!D9,'- B -'!$X$3:$Y$17,2,0),"")</f>
        <v>-5</v>
      </c>
      <c r="AL7" s="38">
        <f>IF('- B -'!E9&lt;&gt;"",VLOOKUP('- B -'!E9,'- B -'!$X$3:$Y$18,2,0),"")</f>
        <v>1.01</v>
      </c>
      <c r="AM7" s="39">
        <f t="shared" si="21"/>
        <v>1</v>
      </c>
    </row>
    <row r="8" spans="1:39" x14ac:dyDescent="0.2">
      <c r="A8" s="2" t="str">
        <f>'- B -'!B10</f>
        <v>Fernando Sanz</v>
      </c>
      <c r="B8" s="1" t="str">
        <f>IF('- B -'!C10&lt;&gt;"",'- B -'!C10,"")</f>
        <v>1/6</v>
      </c>
      <c r="C8" s="1" t="str">
        <f>IF('- B -'!D10&lt;&gt;"",'- B -'!D10,"")</f>
        <v>6/2</v>
      </c>
      <c r="D8" s="1" t="str">
        <f>IF('- B -'!E10&lt;&gt;"",'- B -'!E10,"")</f>
        <v>1/6</v>
      </c>
      <c r="E8" s="3" t="str">
        <f>'- B -'!F10</f>
        <v>Isma Barrionuevo</v>
      </c>
      <c r="F8" s="1">
        <f>COUNTBLANK('- B -'!C10:'- B -'!E10)</f>
        <v>0</v>
      </c>
      <c r="G8" s="40">
        <f>IF(AND(F8=0,OR($A8=$G$2,$E8=$G$2)),1,0)</f>
        <v>0</v>
      </c>
      <c r="H8" s="40">
        <f>IF(AND(F8=0,$A8=$G$2,$AM8=1),1,IF(AND(F8=0,$E8=$G$2,$AM8=2),1,0))</f>
        <v>0</v>
      </c>
      <c r="I8" s="40">
        <f>IF(AND(F8=0,G8=1,$H8=0),1,0)</f>
        <v>0</v>
      </c>
      <c r="J8" s="40">
        <f t="shared" si="0"/>
        <v>0</v>
      </c>
      <c r="K8" s="40">
        <f t="shared" si="1"/>
        <v>0</v>
      </c>
      <c r="L8" s="40">
        <f t="shared" si="2"/>
        <v>0</v>
      </c>
      <c r="N8" s="40">
        <f t="shared" si="3"/>
        <v>0</v>
      </c>
      <c r="O8" s="40">
        <f t="shared" si="4"/>
        <v>0</v>
      </c>
      <c r="P8" s="40">
        <f t="shared" si="5"/>
        <v>0</v>
      </c>
      <c r="Q8" s="40">
        <f t="shared" si="6"/>
        <v>0</v>
      </c>
      <c r="R8" s="40">
        <f t="shared" si="7"/>
        <v>0</v>
      </c>
      <c r="S8" s="40">
        <f t="shared" si="8"/>
        <v>0</v>
      </c>
      <c r="U8" s="40">
        <f t="shared" si="9"/>
        <v>1</v>
      </c>
      <c r="V8" s="40">
        <f t="shared" si="10"/>
        <v>1</v>
      </c>
      <c r="W8" s="40">
        <f t="shared" si="11"/>
        <v>0</v>
      </c>
      <c r="X8" s="40">
        <f t="shared" si="12"/>
        <v>2</v>
      </c>
      <c r="Y8" s="40">
        <f t="shared" si="13"/>
        <v>1</v>
      </c>
      <c r="Z8" s="40">
        <f t="shared" si="14"/>
        <v>6</v>
      </c>
      <c r="AB8" s="40">
        <f t="shared" si="15"/>
        <v>1</v>
      </c>
      <c r="AC8" s="40">
        <f t="shared" si="16"/>
        <v>0</v>
      </c>
      <c r="AD8" s="40">
        <f t="shared" si="17"/>
        <v>1</v>
      </c>
      <c r="AE8" s="40">
        <f t="shared" si="18"/>
        <v>1</v>
      </c>
      <c r="AF8" s="40">
        <f t="shared" si="19"/>
        <v>2</v>
      </c>
      <c r="AG8" s="40">
        <f t="shared" si="20"/>
        <v>-6</v>
      </c>
      <c r="AJ8" s="38">
        <f>IF('- B -'!C10&lt;&gt;"",VLOOKUP('- B -'!C10,'- B -'!$X$3:$Y$17,2,0),"")</f>
        <v>-5</v>
      </c>
      <c r="AK8" s="38">
        <f>IF('- B -'!D10&lt;&gt;"",VLOOKUP('- B -'!D10,'- B -'!$X$3:$Y$17,2,0),"")</f>
        <v>4</v>
      </c>
      <c r="AL8" s="38">
        <f>IF('- B -'!E10&lt;&gt;"",VLOOKUP('- B -'!E10,'- B -'!$X$3:$Y$18,2,0),"")</f>
        <v>-5</v>
      </c>
      <c r="AM8" s="39">
        <f t="shared" si="21"/>
        <v>2</v>
      </c>
    </row>
    <row r="9" spans="1:39" x14ac:dyDescent="0.2">
      <c r="A9" s="2" t="str">
        <f>'- B -'!B11</f>
        <v>Luis C. Torres</v>
      </c>
      <c r="B9" s="1" t="str">
        <f>IF('- B -'!C11&lt;&gt;"",'- B -'!C11,"")</f>
        <v>5/7</v>
      </c>
      <c r="C9" s="1" t="str">
        <f>IF('- B -'!D11&lt;&gt;"",'- B -'!D11,"")</f>
        <v>1/6</v>
      </c>
      <c r="D9" s="1" t="str">
        <f>IF('- B -'!E11&lt;&gt;"",'- B -'!E11,"")</f>
        <v>-</v>
      </c>
      <c r="E9" s="3" t="str">
        <f>'- B -'!F11</f>
        <v>Javier Cabello</v>
      </c>
      <c r="F9" s="1">
        <f>COUNTBLANK('- B -'!C11:'- B -'!E11)</f>
        <v>0</v>
      </c>
      <c r="G9" s="40">
        <f>IF(AND(F9=0,OR($A9=$G$2,$E9=$G$2)),1,0)</f>
        <v>1</v>
      </c>
      <c r="H9" s="40">
        <f>IF(AND(F9=0,$A9=$G$2,$AM9=1),1,IF(AND(F9=0,$E9=$G$2,$AM9=2),1,0))</f>
        <v>1</v>
      </c>
      <c r="I9" s="40">
        <f>IF(AND(F9=0,G9=1,$H9=0),1,0)</f>
        <v>0</v>
      </c>
      <c r="J9" s="40">
        <f t="shared" si="0"/>
        <v>2</v>
      </c>
      <c r="K9" s="40">
        <f t="shared" si="1"/>
        <v>0</v>
      </c>
      <c r="L9" s="40">
        <f t="shared" si="2"/>
        <v>7</v>
      </c>
      <c r="N9" s="40">
        <f t="shared" si="3"/>
        <v>1</v>
      </c>
      <c r="O9" s="40">
        <f t="shared" si="4"/>
        <v>0</v>
      </c>
      <c r="P9" s="40">
        <f t="shared" si="5"/>
        <v>1</v>
      </c>
      <c r="Q9" s="40">
        <f t="shared" si="6"/>
        <v>0</v>
      </c>
      <c r="R9" s="40">
        <f t="shared" si="7"/>
        <v>2</v>
      </c>
      <c r="S9" s="40">
        <f t="shared" si="8"/>
        <v>-7</v>
      </c>
      <c r="U9" s="40">
        <f t="shared" si="9"/>
        <v>0</v>
      </c>
      <c r="V9" s="40">
        <f t="shared" si="10"/>
        <v>0</v>
      </c>
      <c r="W9" s="40">
        <f t="shared" si="11"/>
        <v>0</v>
      </c>
      <c r="X9" s="40">
        <f t="shared" si="12"/>
        <v>0</v>
      </c>
      <c r="Y9" s="40">
        <f t="shared" si="13"/>
        <v>0</v>
      </c>
      <c r="Z9" s="40">
        <f t="shared" si="14"/>
        <v>0</v>
      </c>
      <c r="AB9" s="40">
        <f t="shared" si="15"/>
        <v>0</v>
      </c>
      <c r="AC9" s="40">
        <f t="shared" si="16"/>
        <v>0</v>
      </c>
      <c r="AD9" s="40">
        <f t="shared" si="17"/>
        <v>0</v>
      </c>
      <c r="AE9" s="40">
        <f t="shared" si="18"/>
        <v>0</v>
      </c>
      <c r="AF9" s="40">
        <f t="shared" si="19"/>
        <v>0</v>
      </c>
      <c r="AG9" s="40">
        <f t="shared" si="20"/>
        <v>0</v>
      </c>
      <c r="AJ9" s="38">
        <f>IF('- B -'!C11&lt;&gt;"",VLOOKUP('- B -'!C11,'- B -'!$X$3:$Y$17,2,0),"")</f>
        <v>-2</v>
      </c>
      <c r="AK9" s="38">
        <f>IF('- B -'!D11&lt;&gt;"",VLOOKUP('- B -'!D11,'- B -'!$X$3:$Y$17,2,0),"")</f>
        <v>-5</v>
      </c>
      <c r="AL9" s="38">
        <f>IF('- B -'!E11&lt;&gt;"",VLOOKUP('- B -'!E11,'- B -'!$X$3:$Y$18,2,0),"")</f>
        <v>0</v>
      </c>
      <c r="AM9" s="39">
        <f t="shared" si="21"/>
        <v>2</v>
      </c>
    </row>
    <row r="10" spans="1:39" x14ac:dyDescent="0.2">
      <c r="G10">
        <f t="shared" ref="G10:L10" si="22">SUM(G4:G9)</f>
        <v>3</v>
      </c>
      <c r="H10">
        <f>SUM(H4:H9)</f>
        <v>3</v>
      </c>
      <c r="I10">
        <f t="shared" si="22"/>
        <v>0</v>
      </c>
      <c r="J10">
        <f t="shared" si="22"/>
        <v>6</v>
      </c>
      <c r="K10">
        <f t="shared" si="22"/>
        <v>0</v>
      </c>
      <c r="L10">
        <f t="shared" si="22"/>
        <v>18</v>
      </c>
      <c r="M10">
        <f>H10</f>
        <v>3</v>
      </c>
      <c r="N10">
        <f t="shared" ref="N10:S10" si="23">SUM(N4:N9)</f>
        <v>3</v>
      </c>
      <c r="O10">
        <f t="shared" si="23"/>
        <v>0</v>
      </c>
      <c r="P10">
        <f t="shared" si="23"/>
        <v>3</v>
      </c>
      <c r="Q10">
        <f t="shared" si="23"/>
        <v>1</v>
      </c>
      <c r="R10">
        <f t="shared" si="23"/>
        <v>6</v>
      </c>
      <c r="S10">
        <f t="shared" si="23"/>
        <v>-10.01</v>
      </c>
      <c r="T10">
        <f>O10</f>
        <v>0</v>
      </c>
      <c r="U10">
        <f t="shared" ref="U10:Z10" si="24">SUM(U4:U9)</f>
        <v>3</v>
      </c>
      <c r="V10">
        <f t="shared" si="24"/>
        <v>2</v>
      </c>
      <c r="W10">
        <f t="shared" si="24"/>
        <v>1</v>
      </c>
      <c r="X10">
        <f t="shared" si="24"/>
        <v>4</v>
      </c>
      <c r="Y10">
        <f t="shared" si="24"/>
        <v>3</v>
      </c>
      <c r="Z10">
        <f t="shared" si="24"/>
        <v>4</v>
      </c>
      <c r="AA10">
        <f>V10</f>
        <v>2</v>
      </c>
      <c r="AB10">
        <f t="shared" ref="AB10:AG10" si="25">SUM(AB4:AB9)</f>
        <v>3</v>
      </c>
      <c r="AC10">
        <f t="shared" si="25"/>
        <v>1</v>
      </c>
      <c r="AD10">
        <f t="shared" si="25"/>
        <v>2</v>
      </c>
      <c r="AE10">
        <f t="shared" si="25"/>
        <v>3</v>
      </c>
      <c r="AF10">
        <f t="shared" si="25"/>
        <v>5</v>
      </c>
      <c r="AG10">
        <f t="shared" si="25"/>
        <v>-11.99</v>
      </c>
      <c r="AH10">
        <f>AC10</f>
        <v>1</v>
      </c>
    </row>
    <row r="14" spans="1:39" x14ac:dyDescent="0.2">
      <c r="F14" t="s">
        <v>20</v>
      </c>
    </row>
    <row r="15" spans="1:39" x14ac:dyDescent="0.2">
      <c r="G15" t="s">
        <v>58</v>
      </c>
      <c r="H15" t="s">
        <v>59</v>
      </c>
      <c r="I15" t="s">
        <v>5</v>
      </c>
      <c r="J15" t="s">
        <v>62</v>
      </c>
      <c r="K15" t="s">
        <v>63</v>
      </c>
      <c r="L15" t="s">
        <v>66</v>
      </c>
      <c r="M15" t="s">
        <v>6</v>
      </c>
      <c r="O15" t="s">
        <v>7</v>
      </c>
      <c r="S15" t="s">
        <v>8</v>
      </c>
      <c r="W15" t="s">
        <v>9</v>
      </c>
      <c r="AA15" t="s">
        <v>10</v>
      </c>
      <c r="AE15" t="s">
        <v>11</v>
      </c>
      <c r="AI15" t="s">
        <v>12</v>
      </c>
    </row>
    <row r="16" spans="1:39" x14ac:dyDescent="0.2">
      <c r="F16" t="str">
        <f>G2</f>
        <v>Javier Cabello</v>
      </c>
      <c r="G16">
        <f t="shared" ref="G16:M16" si="26">G10</f>
        <v>3</v>
      </c>
      <c r="H16">
        <f t="shared" si="26"/>
        <v>3</v>
      </c>
      <c r="I16">
        <f t="shared" si="26"/>
        <v>0</v>
      </c>
      <c r="J16">
        <f t="shared" si="26"/>
        <v>6</v>
      </c>
      <c r="K16">
        <f t="shared" si="26"/>
        <v>0</v>
      </c>
      <c r="L16">
        <f t="shared" si="26"/>
        <v>18</v>
      </c>
      <c r="M16">
        <f t="shared" si="26"/>
        <v>3</v>
      </c>
      <c r="O16" t="str">
        <f>IF($M16&gt;=$M17,$F16,$F17)</f>
        <v>Javier Cabello</v>
      </c>
      <c r="P16">
        <f>VLOOKUP(O16,$F$16:$M$25,8,FALSE)</f>
        <v>3</v>
      </c>
      <c r="S16" t="str">
        <f>IF($P16&gt;=$P18,$O16,$O18)</f>
        <v>Javier Cabello</v>
      </c>
      <c r="T16">
        <f>VLOOKUP(S16,$O$16:$P$25,2,FALSE)</f>
        <v>3</v>
      </c>
      <c r="W16" t="str">
        <f>IF($T16&gt;=$T19,$S16,$S19)</f>
        <v>Javier Cabello</v>
      </c>
      <c r="X16">
        <f>VLOOKUP(W16,$S$16:$T$25,2,FALSE)</f>
        <v>3</v>
      </c>
      <c r="AA16" t="str">
        <f>W16</f>
        <v>Javier Cabello</v>
      </c>
      <c r="AB16">
        <f>VLOOKUP(AA16,W16:X25,2,FALSE)</f>
        <v>3</v>
      </c>
      <c r="AE16" t="str">
        <f>AA16</f>
        <v>Javier Cabello</v>
      </c>
      <c r="AF16">
        <f>VLOOKUP(AE16,AA16:AB25,2,FALSE)</f>
        <v>3</v>
      </c>
      <c r="AI16" t="str">
        <f>AE16</f>
        <v>Javier Cabello</v>
      </c>
      <c r="AJ16">
        <f>VLOOKUP(AI16,AE16:AF25,2,FALSE)</f>
        <v>3</v>
      </c>
    </row>
    <row r="17" spans="6:37" x14ac:dyDescent="0.2">
      <c r="F17" t="str">
        <f>N2</f>
        <v>Luis C. Torres</v>
      </c>
      <c r="G17">
        <f t="shared" ref="G17:L17" si="27">N10</f>
        <v>3</v>
      </c>
      <c r="H17">
        <f t="shared" si="27"/>
        <v>0</v>
      </c>
      <c r="I17">
        <f t="shared" si="27"/>
        <v>3</v>
      </c>
      <c r="J17">
        <f t="shared" si="27"/>
        <v>1</v>
      </c>
      <c r="K17">
        <f t="shared" si="27"/>
        <v>6</v>
      </c>
      <c r="L17">
        <f t="shared" si="27"/>
        <v>-10.01</v>
      </c>
      <c r="M17">
        <f>T10</f>
        <v>0</v>
      </c>
      <c r="O17" t="str">
        <f>IF($M17&lt;=$M16,$F17,$F16)</f>
        <v>Luis C. Torres</v>
      </c>
      <c r="P17">
        <f>VLOOKUP(O17,$F$16:$M$25,8,FALSE)</f>
        <v>0</v>
      </c>
      <c r="S17" t="str">
        <f>O17</f>
        <v>Luis C. Torres</v>
      </c>
      <c r="T17">
        <f>VLOOKUP(S17,$O$16:$P$25,2,FALSE)</f>
        <v>0</v>
      </c>
      <c r="W17" t="str">
        <f>S17</f>
        <v>Luis C. Torres</v>
      </c>
      <c r="X17">
        <f>VLOOKUP(W17,$S$16:$T$25,2,FALSE)</f>
        <v>0</v>
      </c>
      <c r="AA17" t="str">
        <f>IF(X17&gt;=X18,W17,W18)</f>
        <v>Isma Barrionuevo</v>
      </c>
      <c r="AB17">
        <f>VLOOKUP(AA17,W16:X25,2,FALSE)</f>
        <v>2</v>
      </c>
      <c r="AE17" t="str">
        <f>IF(AB17&gt;=AB19,AA17,AA19)</f>
        <v>Isma Barrionuevo</v>
      </c>
      <c r="AF17">
        <f>VLOOKUP(AE17,AA16:AB25,2,FALSE)</f>
        <v>2</v>
      </c>
      <c r="AI17" t="str">
        <f>AE17</f>
        <v>Isma Barrionuevo</v>
      </c>
      <c r="AJ17">
        <f>VLOOKUP(AI17,AE16:AF25,2,FALSE)</f>
        <v>2</v>
      </c>
    </row>
    <row r="18" spans="6:37" x14ac:dyDescent="0.2">
      <c r="F18" t="str">
        <f>U2</f>
        <v>Isma Barrionuevo</v>
      </c>
      <c r="G18">
        <f t="shared" ref="G18:M18" si="28">U10</f>
        <v>3</v>
      </c>
      <c r="H18">
        <f t="shared" si="28"/>
        <v>2</v>
      </c>
      <c r="I18">
        <f t="shared" si="28"/>
        <v>1</v>
      </c>
      <c r="J18">
        <f t="shared" si="28"/>
        <v>4</v>
      </c>
      <c r="K18">
        <f t="shared" si="28"/>
        <v>3</v>
      </c>
      <c r="L18">
        <f t="shared" si="28"/>
        <v>4</v>
      </c>
      <c r="M18">
        <f t="shared" si="28"/>
        <v>2</v>
      </c>
      <c r="O18" t="str">
        <f>F18</f>
        <v>Isma Barrionuevo</v>
      </c>
      <c r="P18">
        <f>VLOOKUP(O18,$F$16:$M$25,8,FALSE)</f>
        <v>2</v>
      </c>
      <c r="S18" t="str">
        <f>IF($P18&lt;=$P16,$O18,$O16)</f>
        <v>Isma Barrionuevo</v>
      </c>
      <c r="T18">
        <f>VLOOKUP(S18,$O$16:$P$25,2,FALSE)</f>
        <v>2</v>
      </c>
      <c r="W18" t="str">
        <f>S18</f>
        <v>Isma Barrionuevo</v>
      </c>
      <c r="X18">
        <f>VLOOKUP(W18,$S$16:$T$25,2,FALSE)</f>
        <v>2</v>
      </c>
      <c r="AA18" t="str">
        <f>IF(X18&lt;=X17,W18,W17)</f>
        <v>Luis C. Torres</v>
      </c>
      <c r="AB18">
        <f>VLOOKUP(AA18,W16:X25,2,FALSE)</f>
        <v>0</v>
      </c>
      <c r="AE18" t="str">
        <f>AA18</f>
        <v>Luis C. Torres</v>
      </c>
      <c r="AF18">
        <f>VLOOKUP(AE18,AA16:AB25,2,FALSE)</f>
        <v>0</v>
      </c>
      <c r="AI18" t="str">
        <f>IF(AF18&gt;=AF19,AE18,AE19)</f>
        <v>Fernando Sanz</v>
      </c>
      <c r="AJ18">
        <f>VLOOKUP(AI18,AE16:AF25,2,FALSE)</f>
        <v>1</v>
      </c>
    </row>
    <row r="19" spans="6:37" x14ac:dyDescent="0.2">
      <c r="F19" t="str">
        <f>AB2</f>
        <v>Fernando Sanz</v>
      </c>
      <c r="G19">
        <f t="shared" ref="G19:M19" si="29">AB10</f>
        <v>3</v>
      </c>
      <c r="H19">
        <f t="shared" si="29"/>
        <v>1</v>
      </c>
      <c r="I19">
        <f t="shared" si="29"/>
        <v>2</v>
      </c>
      <c r="J19">
        <f t="shared" si="29"/>
        <v>3</v>
      </c>
      <c r="K19">
        <f t="shared" si="29"/>
        <v>5</v>
      </c>
      <c r="L19">
        <f t="shared" si="29"/>
        <v>-11.99</v>
      </c>
      <c r="M19">
        <f t="shared" si="29"/>
        <v>1</v>
      </c>
      <c r="O19" t="str">
        <f>F19</f>
        <v>Fernando Sanz</v>
      </c>
      <c r="P19">
        <f>VLOOKUP(O19,$F$16:$M$25,8,FALSE)</f>
        <v>1</v>
      </c>
      <c r="S19" t="str">
        <f>O19</f>
        <v>Fernando Sanz</v>
      </c>
      <c r="T19">
        <f>VLOOKUP(S19,$O$16:$P$25,2,FALSE)</f>
        <v>1</v>
      </c>
      <c r="W19" t="str">
        <f>IF($T19&lt;=$T16,$S19,$S16)</f>
        <v>Fernando Sanz</v>
      </c>
      <c r="X19">
        <f>VLOOKUP(W19,$S$16:$T$25,2,FALSE)</f>
        <v>1</v>
      </c>
      <c r="AA19" t="str">
        <f>W19</f>
        <v>Fernando Sanz</v>
      </c>
      <c r="AB19">
        <f>VLOOKUP(AA19,W16:X25,2,FALSE)</f>
        <v>1</v>
      </c>
      <c r="AE19" t="str">
        <f>IF(AB19&lt;=AB17,AA19,AA17)</f>
        <v>Fernando Sanz</v>
      </c>
      <c r="AF19">
        <f>VLOOKUP(AE19,AA16:AB25,2,FALSE)</f>
        <v>1</v>
      </c>
      <c r="AI19" t="str">
        <f>IF(AF19&lt;=AF18,AE19,AE18)</f>
        <v>Luis C. Torres</v>
      </c>
      <c r="AJ19">
        <f>VLOOKUP(AI19,AE16:AF25,2,FALSE)</f>
        <v>0</v>
      </c>
    </row>
    <row r="27" spans="6:37" x14ac:dyDescent="0.2">
      <c r="J27" t="s">
        <v>6</v>
      </c>
      <c r="K27" t="s">
        <v>62</v>
      </c>
      <c r="L27" t="s">
        <v>63</v>
      </c>
      <c r="M27" t="s">
        <v>73</v>
      </c>
      <c r="P27" t="s">
        <v>6</v>
      </c>
      <c r="Q27" t="s">
        <v>73</v>
      </c>
      <c r="T27" t="s">
        <v>6</v>
      </c>
      <c r="U27" t="s">
        <v>73</v>
      </c>
      <c r="X27" t="s">
        <v>6</v>
      </c>
      <c r="Y27" t="s">
        <v>73</v>
      </c>
      <c r="AB27" t="s">
        <v>6</v>
      </c>
      <c r="AC27" t="s">
        <v>73</v>
      </c>
      <c r="AF27" t="s">
        <v>6</v>
      </c>
      <c r="AG27" t="s">
        <v>73</v>
      </c>
      <c r="AJ27" t="s">
        <v>6</v>
      </c>
      <c r="AK27" t="s">
        <v>73</v>
      </c>
    </row>
    <row r="28" spans="6:37" x14ac:dyDescent="0.2">
      <c r="F28" t="str">
        <f>AI16</f>
        <v>Javier Cabello</v>
      </c>
      <c r="J28">
        <f>AJ16</f>
        <v>3</v>
      </c>
      <c r="K28">
        <f>VLOOKUP(AI16,$F$16:$M$25,5,FALSE)</f>
        <v>6</v>
      </c>
      <c r="L28">
        <f>VLOOKUP(AI16,$F$16:$M$25,6,FALSE)</f>
        <v>0</v>
      </c>
      <c r="M28">
        <f>K28-L28</f>
        <v>6</v>
      </c>
      <c r="O28" t="str">
        <f>IF(AND($J28=$J29,$M29&gt;$M28),$F29,$F28)</f>
        <v>Javier Cabello</v>
      </c>
      <c r="P28">
        <f>VLOOKUP(O28,$F$28:$M$37,5,FALSE)</f>
        <v>3</v>
      </c>
      <c r="Q28">
        <f>VLOOKUP(O28,$F$28:$M$37,8,FALSE)</f>
        <v>6</v>
      </c>
      <c r="S28" t="str">
        <f>IF(AND(P28=P30,Q30&gt;Q28),O30,O28)</f>
        <v>Javier Cabello</v>
      </c>
      <c r="T28">
        <f>VLOOKUP(S28,$O$28:$Q$37,2,FALSE)</f>
        <v>3</v>
      </c>
      <c r="U28">
        <f>VLOOKUP(S28,$O$28:$Q$37,3,FALSE)</f>
        <v>6</v>
      </c>
      <c r="W28" t="str">
        <f>IF(AND(T28=T31,U31&gt;U28),S31,S28)</f>
        <v>Javier Cabello</v>
      </c>
      <c r="X28">
        <f>VLOOKUP(W28,$S$28:$U$37,2,FALSE)</f>
        <v>3</v>
      </c>
      <c r="Y28">
        <f>VLOOKUP(W28,$S$28:$U$37,3,FALSE)</f>
        <v>6</v>
      </c>
      <c r="AA28" t="str">
        <f>W28</f>
        <v>Javier Cabello</v>
      </c>
      <c r="AB28">
        <f>VLOOKUP(AA28,W28:Y37,2,FALSE)</f>
        <v>3</v>
      </c>
      <c r="AC28">
        <f>VLOOKUP(AA28,W28:Y37,3,FALSE)</f>
        <v>6</v>
      </c>
      <c r="AE28" t="str">
        <f>AA28</f>
        <v>Javier Cabello</v>
      </c>
      <c r="AF28">
        <f>VLOOKUP(AE28,AA28:AC37,2,FALSE)</f>
        <v>3</v>
      </c>
      <c r="AG28">
        <f>VLOOKUP(AE28,AA28:AC37,3,FALSE)</f>
        <v>6</v>
      </c>
      <c r="AI28" t="str">
        <f>AE28</f>
        <v>Javier Cabello</v>
      </c>
      <c r="AJ28">
        <f>VLOOKUP(AI28,AE28:AG37,2,FALSE)</f>
        <v>3</v>
      </c>
      <c r="AK28">
        <f>VLOOKUP(AI28,AE28:AG37,3,FALSE)</f>
        <v>6</v>
      </c>
    </row>
    <row r="29" spans="6:37" x14ac:dyDescent="0.2">
      <c r="F29" t="str">
        <f>AI17</f>
        <v>Isma Barrionuevo</v>
      </c>
      <c r="J29">
        <f>AJ17</f>
        <v>2</v>
      </c>
      <c r="K29">
        <f>VLOOKUP(AI17,$F$16:$M$25,5,FALSE)</f>
        <v>4</v>
      </c>
      <c r="L29">
        <f>VLOOKUP(AI17,$F$16:$M$25,6,FALSE)</f>
        <v>3</v>
      </c>
      <c r="M29">
        <f>K29-L29</f>
        <v>1</v>
      </c>
      <c r="O29" t="str">
        <f>IF(AND($J28=$J29,$M29&gt;$M28),$F28,$F29)</f>
        <v>Isma Barrionuevo</v>
      </c>
      <c r="P29">
        <f>VLOOKUP(O29,$F$28:$M$37,5,FALSE)</f>
        <v>2</v>
      </c>
      <c r="Q29">
        <f>VLOOKUP(O29,$F$28:$M$37,8,FALSE)</f>
        <v>1</v>
      </c>
      <c r="S29" t="str">
        <f>O29</f>
        <v>Isma Barrionuevo</v>
      </c>
      <c r="T29">
        <f>VLOOKUP(S29,$O$28:$Q$37,2,FALSE)</f>
        <v>2</v>
      </c>
      <c r="U29">
        <f>VLOOKUP(S29,$O$28:$Q$37,3,FALSE)</f>
        <v>1</v>
      </c>
      <c r="W29" t="str">
        <f>S29</f>
        <v>Isma Barrionuevo</v>
      </c>
      <c r="X29">
        <f>VLOOKUP(W29,$S$28:$U$37,2,FALSE)</f>
        <v>2</v>
      </c>
      <c r="Y29">
        <f>VLOOKUP(W29,$S$28:$U$37,3,FALSE)</f>
        <v>1</v>
      </c>
      <c r="AA29" t="str">
        <f>IF(AND(X29=X30,Y30&gt;Y29),W30,W29)</f>
        <v>Isma Barrionuevo</v>
      </c>
      <c r="AB29">
        <f>VLOOKUP(AA29,W28:Y37,2,FALSE)</f>
        <v>2</v>
      </c>
      <c r="AC29">
        <f>VLOOKUP(AA29,W28:Y37,3,FALSE)</f>
        <v>1</v>
      </c>
      <c r="AE29" t="str">
        <f>IF(AND(AB29=AB31,AC31&gt;AC29),AA31,AA29)</f>
        <v>Isma Barrionuevo</v>
      </c>
      <c r="AF29">
        <f>VLOOKUP(AE29,AA28:AC37,2,FALSE)</f>
        <v>2</v>
      </c>
      <c r="AG29">
        <f>VLOOKUP(AE29,AA28:AC37,3,FALSE)</f>
        <v>1</v>
      </c>
      <c r="AI29" t="str">
        <f>AE29</f>
        <v>Isma Barrionuevo</v>
      </c>
      <c r="AJ29">
        <f>VLOOKUP(AI29,AE28:AG37,2,FALSE)</f>
        <v>2</v>
      </c>
      <c r="AK29">
        <f>VLOOKUP(AI29,AE28:AG37,3,FALSE)</f>
        <v>1</v>
      </c>
    </row>
    <row r="30" spans="6:37" x14ac:dyDescent="0.2">
      <c r="F30" t="str">
        <f>AI18</f>
        <v>Fernando Sanz</v>
      </c>
      <c r="J30">
        <f>AJ18</f>
        <v>1</v>
      </c>
      <c r="K30">
        <f>VLOOKUP(AI18,$F$16:$M$25,5,FALSE)</f>
        <v>3</v>
      </c>
      <c r="L30">
        <f>VLOOKUP(AI18,$F$16:$M$25,6,FALSE)</f>
        <v>5</v>
      </c>
      <c r="M30">
        <f>K30-L30</f>
        <v>-2</v>
      </c>
      <c r="O30" t="str">
        <f>F30</f>
        <v>Fernando Sanz</v>
      </c>
      <c r="P30">
        <f>VLOOKUP(O30,$F$28:$M$37,5,FALSE)</f>
        <v>1</v>
      </c>
      <c r="Q30">
        <f>VLOOKUP(O30,$F$28:$M$37,8,FALSE)</f>
        <v>-2</v>
      </c>
      <c r="S30" t="str">
        <f>IF(AND($P28=P30,Q30&gt;Q28),O28,O30)</f>
        <v>Fernando Sanz</v>
      </c>
      <c r="T30">
        <f>VLOOKUP(S30,$O$28:$Q$37,2,FALSE)</f>
        <v>1</v>
      </c>
      <c r="U30">
        <f>VLOOKUP(S30,$O$28:$Q$37,3,FALSE)</f>
        <v>-2</v>
      </c>
      <c r="W30" t="str">
        <f>S30</f>
        <v>Fernando Sanz</v>
      </c>
      <c r="X30">
        <f>VLOOKUP(W30,$S$28:$U$37,2,FALSE)</f>
        <v>1</v>
      </c>
      <c r="Y30">
        <f>VLOOKUP(W30,$S$28:$U$37,3,FALSE)</f>
        <v>-2</v>
      </c>
      <c r="AA30" t="str">
        <f>IF(AND(X29=X30,Y30&gt;Y29),W29,W30)</f>
        <v>Fernando Sanz</v>
      </c>
      <c r="AB30">
        <f>VLOOKUP(AA30,W28:Y37,2,FALSE)</f>
        <v>1</v>
      </c>
      <c r="AC30">
        <f>VLOOKUP(AA30,W28:Y37,3,FALSE)</f>
        <v>-2</v>
      </c>
      <c r="AE30" t="str">
        <f>AA30</f>
        <v>Fernando Sanz</v>
      </c>
      <c r="AF30">
        <f>VLOOKUP(AE30,AA28:AC37,2,FALSE)</f>
        <v>1</v>
      </c>
      <c r="AG30">
        <f>VLOOKUP(AE30,AA28:AC37,3,FALSE)</f>
        <v>-2</v>
      </c>
      <c r="AI30" t="str">
        <f>IF(AND(AF30=AF31,AG31&gt;AG30),AE31,AE30)</f>
        <v>Fernando Sanz</v>
      </c>
      <c r="AJ30">
        <f>VLOOKUP(AI30,AE28:AG37,2,FALSE)</f>
        <v>1</v>
      </c>
      <c r="AK30">
        <f>VLOOKUP(AI30,AE28:AG37,3,FALSE)</f>
        <v>-2</v>
      </c>
    </row>
    <row r="31" spans="6:37" x14ac:dyDescent="0.2">
      <c r="F31" t="str">
        <f>AI19</f>
        <v>Luis C. Torres</v>
      </c>
      <c r="J31">
        <f>AJ19</f>
        <v>0</v>
      </c>
      <c r="K31">
        <f>VLOOKUP(AI19,$F$16:$M$25,5,FALSE)</f>
        <v>1</v>
      </c>
      <c r="L31">
        <f>VLOOKUP(AI19,$F$16:$M$25,6,FALSE)</f>
        <v>6</v>
      </c>
      <c r="M31">
        <f>K31-L31</f>
        <v>-5</v>
      </c>
      <c r="O31" t="str">
        <f>F31</f>
        <v>Luis C. Torres</v>
      </c>
      <c r="P31">
        <f>VLOOKUP(O31,$F$28:$M$37,5,FALSE)</f>
        <v>0</v>
      </c>
      <c r="Q31">
        <f>VLOOKUP(O31,$F$28:$M$37,8,FALSE)</f>
        <v>-5</v>
      </c>
      <c r="S31" t="str">
        <f>O31</f>
        <v>Luis C. Torres</v>
      </c>
      <c r="T31">
        <f>VLOOKUP(S31,$O$28:$Q$37,2,FALSE)</f>
        <v>0</v>
      </c>
      <c r="U31">
        <f>VLOOKUP(S31,$O$28:$Q$37,3,FALSE)</f>
        <v>-5</v>
      </c>
      <c r="W31" t="str">
        <f>IF(AND(T28=T31,U31&gt;U28),S28,S31)</f>
        <v>Luis C. Torres</v>
      </c>
      <c r="X31">
        <f>VLOOKUP(W31,$S$28:$U$37,2,FALSE)</f>
        <v>0</v>
      </c>
      <c r="Y31">
        <f>VLOOKUP(W31,$S$28:$U$37,3,FALSE)</f>
        <v>-5</v>
      </c>
      <c r="AA31" t="str">
        <f>W31</f>
        <v>Luis C. Torres</v>
      </c>
      <c r="AB31">
        <f>VLOOKUP(AA31,W28:Y37,2,FALSE)</f>
        <v>0</v>
      </c>
      <c r="AC31">
        <f>VLOOKUP(AA31,W28:Y37,3,FALSE)</f>
        <v>-5</v>
      </c>
      <c r="AE31" t="str">
        <f>IF(AND(AB29=AB31,AC31&gt;AC29),AA29,AA31)</f>
        <v>Luis C. Torres</v>
      </c>
      <c r="AF31">
        <f>VLOOKUP(AE31,AA28:AC37,2,FALSE)</f>
        <v>0</v>
      </c>
      <c r="AG31">
        <f>VLOOKUP(AE31,AA28:AC37,3,FALSE)</f>
        <v>-5</v>
      </c>
      <c r="AI31" t="str">
        <f>IF(AND(AF30=AF31,AG31&gt;AG30),AE30,AE31)</f>
        <v>Luis C. Torres</v>
      </c>
      <c r="AJ31">
        <f>VLOOKUP(AI31,AE28:AG37,2,FALSE)</f>
        <v>0</v>
      </c>
      <c r="AK31">
        <f>VLOOKUP(AI31,AE28:AG37,3,FALSE)</f>
        <v>-5</v>
      </c>
    </row>
    <row r="39" spans="6:38" x14ac:dyDescent="0.2">
      <c r="J39" t="s">
        <v>6</v>
      </c>
      <c r="K39" t="s">
        <v>73</v>
      </c>
      <c r="L39" t="s">
        <v>66</v>
      </c>
      <c r="P39" t="s">
        <v>6</v>
      </c>
      <c r="Q39" t="s">
        <v>73</v>
      </c>
      <c r="R39" t="s">
        <v>66</v>
      </c>
      <c r="T39" t="s">
        <v>6</v>
      </c>
      <c r="U39" t="s">
        <v>73</v>
      </c>
      <c r="V39" t="s">
        <v>66</v>
      </c>
      <c r="X39" t="s">
        <v>6</v>
      </c>
      <c r="Y39" t="s">
        <v>73</v>
      </c>
      <c r="Z39" t="s">
        <v>66</v>
      </c>
      <c r="AB39" t="s">
        <v>6</v>
      </c>
      <c r="AC39" t="s">
        <v>73</v>
      </c>
      <c r="AD39" t="s">
        <v>66</v>
      </c>
      <c r="AF39" t="s">
        <v>6</v>
      </c>
      <c r="AG39" t="s">
        <v>73</v>
      </c>
      <c r="AH39" t="s">
        <v>66</v>
      </c>
      <c r="AJ39" t="s">
        <v>6</v>
      </c>
      <c r="AK39" t="s">
        <v>73</v>
      </c>
      <c r="AL39" t="s">
        <v>66</v>
      </c>
    </row>
    <row r="40" spans="6:38" x14ac:dyDescent="0.2">
      <c r="F40" t="str">
        <f>AI28</f>
        <v>Javier Cabello</v>
      </c>
      <c r="J40">
        <f>AJ28</f>
        <v>3</v>
      </c>
      <c r="K40">
        <f>AK28</f>
        <v>6</v>
      </c>
      <c r="L40">
        <f>VLOOKUP(F40,$F$16:$M$25,7,FALSE)</f>
        <v>18</v>
      </c>
      <c r="M40">
        <f>K40</f>
        <v>6</v>
      </c>
      <c r="O40" t="str">
        <f>IF(AND(J40=J41,K40=K41,L41&gt;L40),F41,F40)</f>
        <v>Javier Cabello</v>
      </c>
      <c r="P40">
        <f>VLOOKUP(O40,$F$40:$M$49,5,FALSE)</f>
        <v>3</v>
      </c>
      <c r="Q40">
        <f>VLOOKUP(O40,$F$40:$M$49,6,FALSE)</f>
        <v>6</v>
      </c>
      <c r="R40">
        <f>VLOOKUP(O40,$F$40:$M$49,7,FALSE)</f>
        <v>18</v>
      </c>
      <c r="S40" t="str">
        <f>IF(AND(P40=P42,Q40=Q42,R42&gt;R40),O42,O40)</f>
        <v>Javier Cabello</v>
      </c>
      <c r="T40">
        <f>VLOOKUP(S40,$O$40:$R$49,2,FALSE)</f>
        <v>3</v>
      </c>
      <c r="U40">
        <f>VLOOKUP(S40,$O$40:$R$49,3,FALSE)</f>
        <v>6</v>
      </c>
      <c r="V40">
        <f>VLOOKUP(S40,$O$40:$R$49,4,FALSE)</f>
        <v>18</v>
      </c>
      <c r="W40" t="str">
        <f>IF(AND(T40=T43,U40=U43,V43&gt;V40),S43,S40)</f>
        <v>Javier Cabello</v>
      </c>
      <c r="X40">
        <f>VLOOKUP(W40,$S$40:$V$49,2,FALSE)</f>
        <v>3</v>
      </c>
      <c r="Y40">
        <f>VLOOKUP(W40,$S$40:$V$49,3,FALSE)</f>
        <v>6</v>
      </c>
      <c r="Z40">
        <f>VLOOKUP(W40,$S$40:$V$49,4,FALSE)</f>
        <v>18</v>
      </c>
      <c r="AA40" t="str">
        <f>W40</f>
        <v>Javier Cabello</v>
      </c>
      <c r="AB40">
        <f>VLOOKUP(AA40,W40:Z49,2,FALSE)</f>
        <v>3</v>
      </c>
      <c r="AC40">
        <f>VLOOKUP(AA40,W40:Z49,3,FALSE)</f>
        <v>6</v>
      </c>
      <c r="AD40">
        <f>VLOOKUP(AA40,W40:Z49,4,FALSE)</f>
        <v>18</v>
      </c>
      <c r="AE40" t="str">
        <f>AA40</f>
        <v>Javier Cabello</v>
      </c>
      <c r="AF40">
        <f>VLOOKUP(AE40,AA40:AD49,2,FALSE)</f>
        <v>3</v>
      </c>
      <c r="AG40">
        <f>VLOOKUP(AE40,AA40:AD49,3,FALSE)</f>
        <v>6</v>
      </c>
      <c r="AH40">
        <f>VLOOKUP(AE40,AA40:AD49,4,FALSE)</f>
        <v>18</v>
      </c>
      <c r="AI40" t="str">
        <f>AE40</f>
        <v>Javier Cabello</v>
      </c>
      <c r="AJ40">
        <f>VLOOKUP(AI40,AE40:AH49,2,FALSE)</f>
        <v>3</v>
      </c>
      <c r="AK40">
        <f>VLOOKUP(AI40,AE40:AH49,3,FALSE)</f>
        <v>6</v>
      </c>
      <c r="AL40">
        <f>VLOOKUP(AI40,AE40:AH49,4,FALSE)</f>
        <v>18</v>
      </c>
    </row>
    <row r="41" spans="6:38" x14ac:dyDescent="0.2">
      <c r="F41" t="str">
        <f>AI29</f>
        <v>Isma Barrionuevo</v>
      </c>
      <c r="J41">
        <f t="shared" ref="J41:K43" si="30">AJ29</f>
        <v>2</v>
      </c>
      <c r="K41">
        <f t="shared" si="30"/>
        <v>1</v>
      </c>
      <c r="L41">
        <f>VLOOKUP(F41,$F$16:$M$25,7,FALSE)</f>
        <v>4</v>
      </c>
      <c r="M41">
        <f>K41</f>
        <v>1</v>
      </c>
      <c r="O41" t="str">
        <f>IF(AND(J40=J41,K40=K41,L41&gt;L40),F40,F41)</f>
        <v>Isma Barrionuevo</v>
      </c>
      <c r="P41">
        <f>VLOOKUP(O41,$F$40:$M$49,5,FALSE)</f>
        <v>2</v>
      </c>
      <c r="Q41">
        <f>VLOOKUP(O41,$F$40:$M$49,6,FALSE)</f>
        <v>1</v>
      </c>
      <c r="R41">
        <f>VLOOKUP(O41,$F$40:$M$49,7,FALSE)</f>
        <v>4</v>
      </c>
      <c r="S41" t="str">
        <f>O41</f>
        <v>Isma Barrionuevo</v>
      </c>
      <c r="T41">
        <f>VLOOKUP(S41,$O$40:$R$49,2,FALSE)</f>
        <v>2</v>
      </c>
      <c r="U41">
        <f>VLOOKUP(S41,$O$40:$R$49,3,FALSE)</f>
        <v>1</v>
      </c>
      <c r="V41">
        <f>VLOOKUP(S41,$O$40:$R$49,4,FALSE)</f>
        <v>4</v>
      </c>
      <c r="W41" t="str">
        <f>S41</f>
        <v>Isma Barrionuevo</v>
      </c>
      <c r="X41">
        <f>VLOOKUP(W41,$S$40:$V$49,2,FALSE)</f>
        <v>2</v>
      </c>
      <c r="Y41">
        <f>VLOOKUP(W41,$S$40:$V$49,3,FALSE)</f>
        <v>1</v>
      </c>
      <c r="Z41">
        <f>VLOOKUP(W41,$S$40:$V$49,4,FALSE)</f>
        <v>4</v>
      </c>
      <c r="AA41" t="str">
        <f>IF(AND(X41=X42,Y41=Y42,Z42&gt;Z41),W42,W41)</f>
        <v>Isma Barrionuevo</v>
      </c>
      <c r="AB41">
        <f>VLOOKUP(AA41,W40:Z49,2,FALSE)</f>
        <v>2</v>
      </c>
      <c r="AC41">
        <f>VLOOKUP(AA41,W40:Z49,3,FALSE)</f>
        <v>1</v>
      </c>
      <c r="AD41">
        <f>VLOOKUP(AA41,W40:Z49,4,FALSE)</f>
        <v>4</v>
      </c>
      <c r="AE41" t="str">
        <f>IF(AND(AB41=AB43,AC41=AC43,AD43&gt;AD41),AA43,AA41)</f>
        <v>Isma Barrionuevo</v>
      </c>
      <c r="AF41">
        <f>VLOOKUP(AE41,AA40:AD49,2,FALSE)</f>
        <v>2</v>
      </c>
      <c r="AG41">
        <f>VLOOKUP(AE41,AA40:AD49,3,FALSE)</f>
        <v>1</v>
      </c>
      <c r="AH41">
        <f>VLOOKUP(AE41,AA40:AD49,4,FALSE)</f>
        <v>4</v>
      </c>
      <c r="AI41" t="str">
        <f>AE41</f>
        <v>Isma Barrionuevo</v>
      </c>
      <c r="AJ41">
        <f>VLOOKUP(AI41,AE40:AH49,2,FALSE)</f>
        <v>2</v>
      </c>
      <c r="AK41">
        <f>VLOOKUP(AI41,AE40:AH49,3,FALSE)</f>
        <v>1</v>
      </c>
      <c r="AL41">
        <f>VLOOKUP(AI41,AE40:AH49,4,FALSE)</f>
        <v>4</v>
      </c>
    </row>
    <row r="42" spans="6:38" x14ac:dyDescent="0.2">
      <c r="F42" t="str">
        <f>AI30</f>
        <v>Fernando Sanz</v>
      </c>
      <c r="J42">
        <f t="shared" si="30"/>
        <v>1</v>
      </c>
      <c r="K42">
        <f t="shared" si="30"/>
        <v>-2</v>
      </c>
      <c r="L42">
        <f>VLOOKUP(F42,$F$16:$M$25,7,FALSE)</f>
        <v>-11.99</v>
      </c>
      <c r="M42">
        <f>K42</f>
        <v>-2</v>
      </c>
      <c r="O42" t="str">
        <f>F42</f>
        <v>Fernando Sanz</v>
      </c>
      <c r="P42">
        <f>VLOOKUP(O42,$F$40:$M$49,5,FALSE)</f>
        <v>1</v>
      </c>
      <c r="Q42">
        <f>VLOOKUP(O42,$F$40:$M$49,6,FALSE)</f>
        <v>-2</v>
      </c>
      <c r="R42">
        <f>VLOOKUP(O42,$F$40:$M$49,7,FALSE)</f>
        <v>-11.99</v>
      </c>
      <c r="S42" t="str">
        <f>IF(AND(P40=P42,Q40=Q42,R42&gt;R40),O40,O42)</f>
        <v>Fernando Sanz</v>
      </c>
      <c r="T42">
        <f>VLOOKUP(S42,$O$40:$R$49,2,FALSE)</f>
        <v>1</v>
      </c>
      <c r="U42">
        <f>VLOOKUP(S42,$O$40:$R$49,3,FALSE)</f>
        <v>-2</v>
      </c>
      <c r="V42">
        <f>VLOOKUP(S42,$O$40:$R$49,4,FALSE)</f>
        <v>-11.99</v>
      </c>
      <c r="W42" t="str">
        <f>S42</f>
        <v>Fernando Sanz</v>
      </c>
      <c r="X42">
        <f>VLOOKUP(W42,$S$40:$V$49,2,FALSE)</f>
        <v>1</v>
      </c>
      <c r="Y42">
        <f>VLOOKUP(W42,$S$40:$V$49,3,FALSE)</f>
        <v>-2</v>
      </c>
      <c r="Z42">
        <f>VLOOKUP(W42,$S$40:$V$49,4,FALSE)</f>
        <v>-11.99</v>
      </c>
      <c r="AA42" t="str">
        <f>IF(AND(X41=X42,Y41=Y42,Z42&gt;Z41),W41,W42)</f>
        <v>Fernando Sanz</v>
      </c>
      <c r="AB42">
        <f>VLOOKUP(AA42,W40:Z49,2,FALSE)</f>
        <v>1</v>
      </c>
      <c r="AC42">
        <f>VLOOKUP(AA42,W40:Z49,3,FALSE)</f>
        <v>-2</v>
      </c>
      <c r="AD42">
        <f>VLOOKUP(AA42,W40:Z49,4,FALSE)</f>
        <v>-11.99</v>
      </c>
      <c r="AE42" t="str">
        <f>AA42</f>
        <v>Fernando Sanz</v>
      </c>
      <c r="AF42">
        <f>VLOOKUP(AE42,AA40:AD49,2,FALSE)</f>
        <v>1</v>
      </c>
      <c r="AG42">
        <f>VLOOKUP(AE42,AA40:AD49,3,FALSE)</f>
        <v>-2</v>
      </c>
      <c r="AH42">
        <f>VLOOKUP(AE42,AA40:AD49,4,FALSE)</f>
        <v>-11.99</v>
      </c>
      <c r="AI42" t="str">
        <f>IF(AND(AF42=AF43,AG42=AG43,AH43&gt;AH42),AE43,AE42)</f>
        <v>Fernando Sanz</v>
      </c>
      <c r="AJ42">
        <f>VLOOKUP(AI42,AE40:AH49,2,FALSE)</f>
        <v>1</v>
      </c>
      <c r="AK42">
        <f>VLOOKUP(AI42,AE40:AH49,3,FALSE)</f>
        <v>-2</v>
      </c>
      <c r="AL42">
        <f>VLOOKUP(AI42,AE40:AH49,4,FALSE)</f>
        <v>-11.99</v>
      </c>
    </row>
    <row r="43" spans="6:38" x14ac:dyDescent="0.2">
      <c r="F43" t="str">
        <f>AI31</f>
        <v>Luis C. Torres</v>
      </c>
      <c r="J43">
        <f t="shared" si="30"/>
        <v>0</v>
      </c>
      <c r="K43">
        <f t="shared" si="30"/>
        <v>-5</v>
      </c>
      <c r="L43">
        <f>VLOOKUP(F43,$F$16:$M$25,7,FALSE)</f>
        <v>-10.01</v>
      </c>
      <c r="M43">
        <f>K43</f>
        <v>-5</v>
      </c>
      <c r="O43" t="str">
        <f>F43</f>
        <v>Luis C. Torres</v>
      </c>
      <c r="P43">
        <f>VLOOKUP(O43,$F$40:$M$49,5,FALSE)</f>
        <v>0</v>
      </c>
      <c r="Q43">
        <f>VLOOKUP(O43,$F$40:$M$49,6,FALSE)</f>
        <v>-5</v>
      </c>
      <c r="R43">
        <f>VLOOKUP(O43,$F$40:$M$49,7,FALSE)</f>
        <v>-10.01</v>
      </c>
      <c r="S43" t="str">
        <f>O43</f>
        <v>Luis C. Torres</v>
      </c>
      <c r="T43">
        <f>VLOOKUP(S43,$O$40:$R$49,2,FALSE)</f>
        <v>0</v>
      </c>
      <c r="U43">
        <f>VLOOKUP(S43,$O$40:$R$49,3,FALSE)</f>
        <v>-5</v>
      </c>
      <c r="V43">
        <f>VLOOKUP(S43,$O$40:$R$49,4,FALSE)</f>
        <v>-10.01</v>
      </c>
      <c r="W43" t="str">
        <f>IF(AND(T40=T43,U40=U43,V43&gt;V40),S40,S43)</f>
        <v>Luis C. Torres</v>
      </c>
      <c r="X43">
        <f>VLOOKUP(W43,$S$40:$V$49,2,FALSE)</f>
        <v>0</v>
      </c>
      <c r="Y43">
        <f>VLOOKUP(W43,$S$40:$V$49,3,FALSE)</f>
        <v>-5</v>
      </c>
      <c r="Z43">
        <f>VLOOKUP(W43,$S$40:$V$49,4,FALSE)</f>
        <v>-10.01</v>
      </c>
      <c r="AA43" t="str">
        <f>W43</f>
        <v>Luis C. Torres</v>
      </c>
      <c r="AB43">
        <f>VLOOKUP(AA43,W40:Z49,2,FALSE)</f>
        <v>0</v>
      </c>
      <c r="AC43">
        <f>VLOOKUP(AA43,W40:Z49,3,FALSE)</f>
        <v>-5</v>
      </c>
      <c r="AD43">
        <f>VLOOKUP(AA43,W40:Z49,4,FALSE)</f>
        <v>-10.01</v>
      </c>
      <c r="AE43" t="str">
        <f>IF(AND(AB41=AB43,AC41=AC43,AD43&gt;AD41),AA41,AA43)</f>
        <v>Luis C. Torres</v>
      </c>
      <c r="AF43">
        <f>VLOOKUP(AE43,AA40:AD49,2,FALSE)</f>
        <v>0</v>
      </c>
      <c r="AG43">
        <f>VLOOKUP(AE43,AA40:AD49,3,FALSE)</f>
        <v>-5</v>
      </c>
      <c r="AH43">
        <f>VLOOKUP(AE43,AA40:AD49,4,FALSE)</f>
        <v>-10.01</v>
      </c>
      <c r="AI43" t="str">
        <f>IF(AND(AF42=AF43,AG42=AG43,AH43&gt;AH42),AE42,AE43)</f>
        <v>Luis C. Torres</v>
      </c>
      <c r="AJ43">
        <f>VLOOKUP(AI43,AE40:AH49,2,FALSE)</f>
        <v>0</v>
      </c>
      <c r="AK43">
        <f>VLOOKUP(AI43,AE40:AH49,3,FALSE)</f>
        <v>-5</v>
      </c>
      <c r="AL43">
        <f>VLOOKUP(AI43,AE40:AH49,4,FALSE)</f>
        <v>-10.01</v>
      </c>
    </row>
    <row r="51" spans="6:13" x14ac:dyDescent="0.2">
      <c r="F51" t="s">
        <v>21</v>
      </c>
      <c r="G51" t="s">
        <v>58</v>
      </c>
      <c r="H51" t="s">
        <v>59</v>
      </c>
      <c r="I51" t="s">
        <v>5</v>
      </c>
      <c r="J51" t="s">
        <v>62</v>
      </c>
      <c r="K51" t="s">
        <v>63</v>
      </c>
      <c r="L51" t="s">
        <v>66</v>
      </c>
      <c r="M51" t="s">
        <v>6</v>
      </c>
    </row>
    <row r="52" spans="6:13" x14ac:dyDescent="0.2">
      <c r="F52" t="str">
        <f>AI40</f>
        <v>Javier Cabello</v>
      </c>
      <c r="G52">
        <f>VLOOKUP(F52,$F$16:$M$25,2,FALSE)</f>
        <v>3</v>
      </c>
      <c r="H52">
        <f>VLOOKUP(F52,$F$16:$M$25,3,FALSE)</f>
        <v>3</v>
      </c>
      <c r="I52">
        <f>VLOOKUP(F52,$F$16:$M$25,4,FALSE)</f>
        <v>0</v>
      </c>
      <c r="J52">
        <f>VLOOKUP(F52,$F$16:$M$25,5,FALSE)</f>
        <v>6</v>
      </c>
      <c r="K52">
        <f>VLOOKUP(F52,$F$16:$M$25,6,FALSE)</f>
        <v>0</v>
      </c>
      <c r="L52">
        <f>VLOOKUP(F52,$F$16:$M$25,7,FALSE)</f>
        <v>18</v>
      </c>
      <c r="M52">
        <f>VLOOKUP(F52,$F$16:$M$25,8,FALSE)</f>
        <v>3</v>
      </c>
    </row>
    <row r="53" spans="6:13" x14ac:dyDescent="0.2">
      <c r="F53" t="str">
        <f>AI41</f>
        <v>Isma Barrionuevo</v>
      </c>
      <c r="G53">
        <f>VLOOKUP(F53,$F$16:$M$25,2,FALSE)</f>
        <v>3</v>
      </c>
      <c r="H53">
        <f>VLOOKUP(F53,$F$16:$M$25,3,FALSE)</f>
        <v>2</v>
      </c>
      <c r="I53">
        <f>VLOOKUP(F53,$F$16:$M$25,4,FALSE)</f>
        <v>1</v>
      </c>
      <c r="J53">
        <f>VLOOKUP(F53,$F$16:$M$25,5,FALSE)</f>
        <v>4</v>
      </c>
      <c r="K53">
        <f>VLOOKUP(F53,$F$16:$M$25,6,FALSE)</f>
        <v>3</v>
      </c>
      <c r="L53">
        <f>VLOOKUP(F53,$F$16:$M$25,7,FALSE)</f>
        <v>4</v>
      </c>
      <c r="M53">
        <f>VLOOKUP(F53,$F$16:$M$25,8,FALSE)</f>
        <v>2</v>
      </c>
    </row>
    <row r="54" spans="6:13" x14ac:dyDescent="0.2">
      <c r="F54" t="str">
        <f>AI42</f>
        <v>Fernando Sanz</v>
      </c>
      <c r="G54">
        <f>VLOOKUP(F54,$F$16:$M$25,2,FALSE)</f>
        <v>3</v>
      </c>
      <c r="H54">
        <f>VLOOKUP(F54,$F$16:$M$25,3,FALSE)</f>
        <v>1</v>
      </c>
      <c r="I54">
        <f>VLOOKUP(F54,$F$16:$M$25,4,FALSE)</f>
        <v>2</v>
      </c>
      <c r="J54">
        <f>VLOOKUP(F54,$F$16:$M$25,5,FALSE)</f>
        <v>3</v>
      </c>
      <c r="K54">
        <f>VLOOKUP(F54,$F$16:$M$25,6,FALSE)</f>
        <v>5</v>
      </c>
      <c r="L54">
        <f>VLOOKUP(F54,$F$16:$M$25,7,FALSE)</f>
        <v>-11.99</v>
      </c>
      <c r="M54">
        <f>VLOOKUP(F54,$F$16:$M$25,8,FALSE)</f>
        <v>1</v>
      </c>
    </row>
    <row r="55" spans="6:13" x14ac:dyDescent="0.2">
      <c r="F55" t="str">
        <f>AI43</f>
        <v>Luis C. Torres</v>
      </c>
      <c r="G55">
        <f>VLOOKUP(F55,$F$16:$M$25,2,FALSE)</f>
        <v>3</v>
      </c>
      <c r="H55">
        <f>VLOOKUP(F55,$F$16:$M$25,3,FALSE)</f>
        <v>0</v>
      </c>
      <c r="I55">
        <f>VLOOKUP(F55,$F$16:$M$25,4,FALSE)</f>
        <v>3</v>
      </c>
      <c r="J55">
        <f>VLOOKUP(F55,$F$16:$M$25,5,FALSE)</f>
        <v>1</v>
      </c>
      <c r="K55">
        <f>VLOOKUP(F55,$F$16:$M$25,6,FALSE)</f>
        <v>6</v>
      </c>
      <c r="L55">
        <f>VLOOKUP(F55,$F$16:$M$25,7,FALSE)</f>
        <v>-10.01</v>
      </c>
      <c r="M55">
        <f>VLOOKUP(F55,$F$16:$M$25,8,FALSE)</f>
        <v>0</v>
      </c>
    </row>
  </sheetData>
  <sheetProtection sheet="1" objects="1" scenarios="1"/>
  <mergeCells count="1">
    <mergeCell ref="A2:E2"/>
  </mergeCells>
  <phoneticPr fontId="2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AM59"/>
  <sheetViews>
    <sheetView workbookViewId="0">
      <selection activeCell="D23" sqref="D23"/>
    </sheetView>
  </sheetViews>
  <sheetFormatPr baseColWidth="10" defaultColWidth="3.7109375" defaultRowHeight="12.75" x14ac:dyDescent="0.2"/>
  <cols>
    <col min="1" max="1" width="12.85546875" customWidth="1"/>
    <col min="2" max="4" width="3.5703125" bestFit="1" customWidth="1"/>
    <col min="5" max="5" width="10.42578125" customWidth="1"/>
    <col min="6" max="6" width="11.42578125" customWidth="1"/>
    <col min="10" max="10" width="3.7109375" customWidth="1"/>
    <col min="15" max="15" width="15.42578125" bestFit="1" customWidth="1"/>
    <col min="19" max="19" width="15.42578125" bestFit="1" customWidth="1"/>
    <col min="23" max="23" width="15.42578125" bestFit="1" customWidth="1"/>
    <col min="27" max="27" width="13" bestFit="1" customWidth="1"/>
    <col min="31" max="31" width="13" bestFit="1" customWidth="1"/>
    <col min="35" max="35" width="13" bestFit="1" customWidth="1"/>
    <col min="36" max="37" width="4.5703125" bestFit="1" customWidth="1"/>
    <col min="38" max="38" width="4.42578125" bestFit="1" customWidth="1"/>
    <col min="64" max="65" width="4.5703125" bestFit="1" customWidth="1"/>
  </cols>
  <sheetData>
    <row r="2" spans="1:39" x14ac:dyDescent="0.2">
      <c r="A2" s="316"/>
      <c r="B2" s="316"/>
      <c r="C2" s="316"/>
      <c r="D2" s="316"/>
      <c r="E2" s="316"/>
    </row>
    <row r="4" spans="1:39" x14ac:dyDescent="0.2">
      <c r="A4" s="2"/>
      <c r="B4" s="1"/>
      <c r="C4" s="1"/>
      <c r="D4" s="1"/>
      <c r="E4" s="3"/>
      <c r="F4" s="1"/>
      <c r="G4" s="40"/>
      <c r="H4" s="40"/>
      <c r="I4" s="40"/>
      <c r="J4" s="40"/>
      <c r="K4" s="40"/>
      <c r="L4" s="40"/>
      <c r="N4" s="40"/>
      <c r="O4" s="40"/>
      <c r="P4" s="40"/>
      <c r="Q4" s="40"/>
      <c r="R4" s="40"/>
      <c r="S4" s="40"/>
      <c r="U4" s="40"/>
      <c r="V4" s="40"/>
      <c r="W4" s="40"/>
      <c r="X4" s="40"/>
      <c r="Y4" s="40"/>
      <c r="Z4" s="40"/>
      <c r="AB4" s="40"/>
      <c r="AC4" s="40"/>
      <c r="AD4" s="40"/>
      <c r="AE4" s="40"/>
      <c r="AF4" s="40"/>
      <c r="AG4" s="40"/>
      <c r="AJ4" s="38"/>
      <c r="AK4" s="38"/>
      <c r="AL4" s="38"/>
      <c r="AM4" s="39"/>
    </row>
    <row r="5" spans="1:39" x14ac:dyDescent="0.2">
      <c r="A5" s="2"/>
      <c r="B5" s="1"/>
      <c r="C5" s="1"/>
      <c r="D5" s="1"/>
      <c r="E5" s="3"/>
      <c r="F5" s="1"/>
      <c r="G5" s="40"/>
      <c r="H5" s="40"/>
      <c r="I5" s="40"/>
      <c r="J5" s="40"/>
      <c r="K5" s="40"/>
      <c r="L5" s="40"/>
      <c r="N5" s="40"/>
      <c r="O5" s="40"/>
      <c r="P5" s="40"/>
      <c r="Q5" s="40"/>
      <c r="R5" s="40"/>
      <c r="S5" s="40"/>
      <c r="U5" s="40"/>
      <c r="V5" s="40"/>
      <c r="W5" s="40"/>
      <c r="X5" s="40"/>
      <c r="Y5" s="40"/>
      <c r="Z5" s="40"/>
      <c r="AB5" s="40"/>
      <c r="AC5" s="40"/>
      <c r="AD5" s="40"/>
      <c r="AE5" s="40"/>
      <c r="AF5" s="40"/>
      <c r="AG5" s="40"/>
      <c r="AJ5" s="38"/>
      <c r="AK5" s="38"/>
      <c r="AL5" s="38"/>
      <c r="AM5" s="39"/>
    </row>
    <row r="6" spans="1:39" x14ac:dyDescent="0.2">
      <c r="A6" s="2"/>
      <c r="B6" s="1"/>
      <c r="C6" s="1"/>
      <c r="D6" s="1"/>
      <c r="E6" s="3"/>
      <c r="F6" s="1"/>
      <c r="G6" s="40"/>
      <c r="H6" s="40"/>
      <c r="I6" s="40"/>
      <c r="J6" s="40"/>
      <c r="K6" s="40"/>
      <c r="L6" s="40"/>
      <c r="N6" s="40"/>
      <c r="O6" s="40"/>
      <c r="P6" s="40"/>
      <c r="Q6" s="40"/>
      <c r="R6" s="40"/>
      <c r="S6" s="40"/>
      <c r="U6" s="40"/>
      <c r="V6" s="40"/>
      <c r="W6" s="40"/>
      <c r="X6" s="40"/>
      <c r="Y6" s="40"/>
      <c r="Z6" s="40"/>
      <c r="AB6" s="40"/>
      <c r="AC6" s="40"/>
      <c r="AD6" s="40"/>
      <c r="AE6" s="40"/>
      <c r="AF6" s="40"/>
      <c r="AG6" s="40"/>
      <c r="AJ6" s="38"/>
      <c r="AK6" s="38"/>
      <c r="AL6" s="38"/>
      <c r="AM6" s="39"/>
    </row>
    <row r="7" spans="1:39" x14ac:dyDescent="0.2">
      <c r="A7" s="2"/>
      <c r="B7" s="1"/>
      <c r="C7" s="1"/>
      <c r="D7" s="1"/>
      <c r="E7" s="3"/>
      <c r="F7" s="1"/>
      <c r="G7" s="40"/>
      <c r="H7" s="40"/>
      <c r="I7" s="40"/>
      <c r="J7" s="40"/>
      <c r="K7" s="40"/>
      <c r="L7" s="40"/>
      <c r="N7" s="40"/>
      <c r="O7" s="40"/>
      <c r="P7" s="40"/>
      <c r="Q7" s="40"/>
      <c r="R7" s="40"/>
      <c r="S7" s="40"/>
      <c r="U7" s="40"/>
      <c r="V7" s="40"/>
      <c r="W7" s="40"/>
      <c r="X7" s="40"/>
      <c r="Y7" s="40"/>
      <c r="Z7" s="40"/>
      <c r="AB7" s="40"/>
      <c r="AC7" s="40"/>
      <c r="AD7" s="40"/>
      <c r="AE7" s="40"/>
      <c r="AF7" s="40"/>
      <c r="AG7" s="40"/>
      <c r="AJ7" s="38"/>
      <c r="AK7" s="38"/>
      <c r="AL7" s="38"/>
      <c r="AM7" s="39"/>
    </row>
    <row r="8" spans="1:39" x14ac:dyDescent="0.2">
      <c r="A8" s="2"/>
      <c r="B8" s="1"/>
      <c r="C8" s="1"/>
      <c r="D8" s="1"/>
      <c r="E8" s="3"/>
      <c r="F8" s="1"/>
      <c r="G8" s="40"/>
      <c r="H8" s="40"/>
      <c r="I8" s="40"/>
      <c r="J8" s="40"/>
      <c r="K8" s="40"/>
      <c r="L8" s="40"/>
      <c r="N8" s="40"/>
      <c r="O8" s="40"/>
      <c r="P8" s="40"/>
      <c r="Q8" s="40"/>
      <c r="R8" s="40"/>
      <c r="S8" s="40"/>
      <c r="U8" s="40"/>
      <c r="V8" s="40"/>
      <c r="W8" s="40"/>
      <c r="X8" s="40"/>
      <c r="Y8" s="40"/>
      <c r="Z8" s="40"/>
      <c r="AB8" s="40"/>
      <c r="AC8" s="40"/>
      <c r="AD8" s="40"/>
      <c r="AE8" s="40"/>
      <c r="AF8" s="40"/>
      <c r="AG8" s="40"/>
      <c r="AJ8" s="38"/>
      <c r="AK8" s="38"/>
      <c r="AL8" s="38"/>
      <c r="AM8" s="39"/>
    </row>
    <row r="9" spans="1:39" x14ac:dyDescent="0.2">
      <c r="A9" s="2"/>
      <c r="B9" s="1"/>
      <c r="C9" s="1"/>
      <c r="D9" s="1"/>
      <c r="E9" s="3"/>
      <c r="F9" s="1"/>
      <c r="G9" s="40"/>
      <c r="H9" s="40"/>
      <c r="I9" s="40"/>
      <c r="J9" s="40"/>
      <c r="K9" s="40"/>
      <c r="L9" s="40"/>
      <c r="N9" s="40"/>
      <c r="O9" s="40"/>
      <c r="P9" s="40"/>
      <c r="Q9" s="40"/>
      <c r="R9" s="40"/>
      <c r="S9" s="40"/>
      <c r="U9" s="40"/>
      <c r="V9" s="40"/>
      <c r="W9" s="40"/>
      <c r="X9" s="40"/>
      <c r="Y9" s="40"/>
      <c r="Z9" s="40"/>
      <c r="AB9" s="40"/>
      <c r="AC9" s="40"/>
      <c r="AD9" s="40"/>
      <c r="AE9" s="40"/>
      <c r="AF9" s="40"/>
      <c r="AG9" s="40"/>
      <c r="AJ9" s="38"/>
      <c r="AK9" s="38"/>
      <c r="AL9" s="38"/>
      <c r="AM9" s="39"/>
    </row>
    <row r="14" spans="1:39" x14ac:dyDescent="0.2">
      <c r="F14" t="s">
        <v>20</v>
      </c>
    </row>
    <row r="15" spans="1:39" x14ac:dyDescent="0.2">
      <c r="G15" t="s">
        <v>58</v>
      </c>
      <c r="H15" t="s">
        <v>59</v>
      </c>
      <c r="I15" t="s">
        <v>5</v>
      </c>
      <c r="J15" t="s">
        <v>62</v>
      </c>
      <c r="K15" t="s">
        <v>63</v>
      </c>
      <c r="L15" t="s">
        <v>66</v>
      </c>
      <c r="M15" t="s">
        <v>6</v>
      </c>
      <c r="O15" t="s">
        <v>7</v>
      </c>
      <c r="S15" t="s">
        <v>8</v>
      </c>
      <c r="W15" t="s">
        <v>9</v>
      </c>
      <c r="AA15" t="s">
        <v>10</v>
      </c>
      <c r="AE15" t="s">
        <v>11</v>
      </c>
      <c r="AI15" t="s">
        <v>12</v>
      </c>
    </row>
    <row r="16" spans="1:39" x14ac:dyDescent="0.2">
      <c r="F16" t="str">
        <f>calculoA!F52</f>
        <v>Sergio Soriano</v>
      </c>
      <c r="G16">
        <f>calculoA!G52</f>
        <v>3</v>
      </c>
      <c r="H16">
        <f>calculoA!H52</f>
        <v>3</v>
      </c>
      <c r="I16">
        <f>calculoA!I52</f>
        <v>0</v>
      </c>
      <c r="J16">
        <f>calculoA!J52</f>
        <v>6</v>
      </c>
      <c r="K16">
        <f>calculoA!K52</f>
        <v>1</v>
      </c>
      <c r="L16">
        <f>calculoA!L52</f>
        <v>22.009999999999998</v>
      </c>
      <c r="M16">
        <f>calculoA!M52</f>
        <v>3</v>
      </c>
      <c r="O16" t="str">
        <f>IF($M16&gt;=$M17,$F16,$F17)</f>
        <v>Sergio Soriano</v>
      </c>
      <c r="P16">
        <f t="shared" ref="P16:P23" si="0">VLOOKUP(O16,$F$16:$M$25,8,FALSE)</f>
        <v>3</v>
      </c>
      <c r="S16" t="str">
        <f>IF($P16&gt;=$P18,$O16,$O18)</f>
        <v>Sergio Soriano</v>
      </c>
      <c r="T16">
        <f t="shared" ref="T16:T23" si="1">VLOOKUP(S16,$O$16:$P$25,2,FALSE)</f>
        <v>3</v>
      </c>
      <c r="W16" t="str">
        <f>IF($T16&gt;=$T19,$S16,$S19)</f>
        <v>Sergio Soriano</v>
      </c>
      <c r="X16">
        <f t="shared" ref="X16:X23" si="2">VLOOKUP(W16,$S$16:$T$25,2,FALSE)</f>
        <v>3</v>
      </c>
      <c r="AA16" t="str">
        <f>W16</f>
        <v>Sergio Soriano</v>
      </c>
      <c r="AB16">
        <f>VLOOKUP(AA16,W16:X25,2,FALSE)</f>
        <v>3</v>
      </c>
      <c r="AE16" t="str">
        <f>AA16</f>
        <v>Sergio Soriano</v>
      </c>
      <c r="AF16">
        <f>VLOOKUP(AE16,AA16:AB25,2,FALSE)</f>
        <v>3</v>
      </c>
      <c r="AI16" t="str">
        <f>AE16</f>
        <v>Sergio Soriano</v>
      </c>
      <c r="AJ16">
        <f>VLOOKUP(AI16,AE16:AF25,2,FALSE)</f>
        <v>3</v>
      </c>
    </row>
    <row r="17" spans="6:37" x14ac:dyDescent="0.2">
      <c r="F17" t="str">
        <f>calculoA!F53</f>
        <v>José de Castro</v>
      </c>
      <c r="G17">
        <f>calculoA!G53</f>
        <v>3</v>
      </c>
      <c r="H17">
        <f>calculoA!H53</f>
        <v>2</v>
      </c>
      <c r="I17">
        <f>calculoA!I53</f>
        <v>1</v>
      </c>
      <c r="J17">
        <f>calculoA!J53</f>
        <v>5</v>
      </c>
      <c r="K17">
        <f>calculoA!K53</f>
        <v>2</v>
      </c>
      <c r="L17">
        <f>calculoA!L53</f>
        <v>16.990000000000002</v>
      </c>
      <c r="M17">
        <f>calculoA!M53</f>
        <v>2</v>
      </c>
      <c r="O17" t="str">
        <f>IF($M17&lt;=$M16,$F17,$F16)</f>
        <v>José de Castro</v>
      </c>
      <c r="P17">
        <f t="shared" si="0"/>
        <v>2</v>
      </c>
      <c r="S17" t="str">
        <f>O17</f>
        <v>José de Castro</v>
      </c>
      <c r="T17">
        <f t="shared" si="1"/>
        <v>2</v>
      </c>
      <c r="W17" t="str">
        <f>S17</f>
        <v>José de Castro</v>
      </c>
      <c r="X17">
        <f t="shared" si="2"/>
        <v>2</v>
      </c>
      <c r="AA17" t="str">
        <f>IF(X17&gt;=X18,W17,W18)</f>
        <v>Javier Cabello</v>
      </c>
      <c r="AB17">
        <f>VLOOKUP(AA17,W16:X25,2,FALSE)</f>
        <v>3</v>
      </c>
      <c r="AE17" t="str">
        <f>IF(AB17&gt;=AB19,AA17,AA19)</f>
        <v>Javier Cabello</v>
      </c>
      <c r="AF17">
        <f>VLOOKUP(AE17,AA16:AB25,2,FALSE)</f>
        <v>3</v>
      </c>
      <c r="AI17" t="str">
        <f>AE17</f>
        <v>Javier Cabello</v>
      </c>
      <c r="AJ17">
        <f>VLOOKUP(AI17,AE16:AF25,2,FALSE)</f>
        <v>3</v>
      </c>
    </row>
    <row r="18" spans="6:37" x14ac:dyDescent="0.2">
      <c r="F18" t="str">
        <f>calculoB!F52</f>
        <v>Javier Cabello</v>
      </c>
      <c r="G18">
        <f>calculoB!G52</f>
        <v>3</v>
      </c>
      <c r="H18">
        <f>calculoB!H52</f>
        <v>3</v>
      </c>
      <c r="I18">
        <f>calculoB!I52</f>
        <v>0</v>
      </c>
      <c r="J18">
        <f>calculoB!J52</f>
        <v>6</v>
      </c>
      <c r="K18">
        <f>calculoB!K52</f>
        <v>0</v>
      </c>
      <c r="L18">
        <f>calculoB!L52</f>
        <v>18</v>
      </c>
      <c r="M18">
        <f>calculoB!M52</f>
        <v>3</v>
      </c>
      <c r="O18" t="str">
        <f>F18</f>
        <v>Javier Cabello</v>
      </c>
      <c r="P18">
        <f t="shared" si="0"/>
        <v>3</v>
      </c>
      <c r="S18" t="str">
        <f>IF($P18&lt;=$P16,$O18,$O16)</f>
        <v>Javier Cabello</v>
      </c>
      <c r="T18">
        <f t="shared" si="1"/>
        <v>3</v>
      </c>
      <c r="W18" t="str">
        <f>S18</f>
        <v>Javier Cabello</v>
      </c>
      <c r="X18">
        <f t="shared" si="2"/>
        <v>3</v>
      </c>
      <c r="AA18" t="str">
        <f>IF(X18&lt;=X17,W18,W17)</f>
        <v>José de Castro</v>
      </c>
      <c r="AB18">
        <f>VLOOKUP(AA18,W16:X25,2,FALSE)</f>
        <v>2</v>
      </c>
      <c r="AE18" t="str">
        <f>AA18</f>
        <v>José de Castro</v>
      </c>
      <c r="AF18">
        <f>VLOOKUP(AE18,AA16:AB25,2,FALSE)</f>
        <v>2</v>
      </c>
      <c r="AI18" t="str">
        <f>IF(AF18&gt;=AF19,AE18,AE19)</f>
        <v>José de Castro</v>
      </c>
      <c r="AJ18">
        <f>VLOOKUP(AI18,AE16:AF25,2,FALSE)</f>
        <v>2</v>
      </c>
    </row>
    <row r="19" spans="6:37" x14ac:dyDescent="0.2">
      <c r="F19" t="str">
        <f>calculoB!F53</f>
        <v>Isma Barrionuevo</v>
      </c>
      <c r="G19">
        <f>calculoB!G53</f>
        <v>3</v>
      </c>
      <c r="H19">
        <f>calculoB!H53</f>
        <v>2</v>
      </c>
      <c r="I19">
        <f>calculoB!I53</f>
        <v>1</v>
      </c>
      <c r="J19">
        <f>calculoB!J53</f>
        <v>4</v>
      </c>
      <c r="K19">
        <f>calculoB!K53</f>
        <v>3</v>
      </c>
      <c r="L19">
        <f>calculoB!L53</f>
        <v>4</v>
      </c>
      <c r="M19">
        <f>calculoB!M53</f>
        <v>2</v>
      </c>
      <c r="O19" t="str">
        <f>F19</f>
        <v>Isma Barrionuevo</v>
      </c>
      <c r="P19">
        <f t="shared" si="0"/>
        <v>2</v>
      </c>
      <c r="S19" t="str">
        <f>O19</f>
        <v>Isma Barrionuevo</v>
      </c>
      <c r="T19">
        <f t="shared" si="1"/>
        <v>2</v>
      </c>
      <c r="W19" t="str">
        <f>IF($T19&lt;=$T16,$S19,$S16)</f>
        <v>Isma Barrionuevo</v>
      </c>
      <c r="X19">
        <f t="shared" si="2"/>
        <v>2</v>
      </c>
      <c r="AA19" t="str">
        <f>W19</f>
        <v>Isma Barrionuevo</v>
      </c>
      <c r="AB19">
        <f>VLOOKUP(AA19,W16:X25,2,FALSE)</f>
        <v>2</v>
      </c>
      <c r="AE19" t="str">
        <f>IF(AB19&lt;=AB17,AA19,AA17)</f>
        <v>Isma Barrionuevo</v>
      </c>
      <c r="AF19">
        <f>VLOOKUP(AE19,AA16:AB25,2,FALSE)</f>
        <v>2</v>
      </c>
      <c r="AI19" t="str">
        <f>IF(AF19&lt;=AF18,AE19,AE18)</f>
        <v>Isma Barrionuevo</v>
      </c>
      <c r="AJ19">
        <f>VLOOKUP(AI19,AE16:AF25,2,FALSE)</f>
        <v>2</v>
      </c>
    </row>
    <row r="20" spans="6:37" x14ac:dyDescent="0.2">
      <c r="F20" t="str">
        <f>calculoA!F54</f>
        <v>Antonio M. Caro</v>
      </c>
      <c r="G20">
        <f>calculoA!G54</f>
        <v>3</v>
      </c>
      <c r="H20">
        <f>calculoA!H54</f>
        <v>1</v>
      </c>
      <c r="I20">
        <f>calculoA!I54</f>
        <v>2</v>
      </c>
      <c r="J20">
        <f>calculoA!J54</f>
        <v>2</v>
      </c>
      <c r="K20">
        <f>calculoA!K54</f>
        <v>4</v>
      </c>
      <c r="L20">
        <f>calculoA!L54</f>
        <v>-15</v>
      </c>
      <c r="M20">
        <f>calculoA!M54</f>
        <v>1</v>
      </c>
      <c r="O20" t="str">
        <f>IF($M20&gt;=$M21,$F20,$F21)</f>
        <v>Antonio M. Caro</v>
      </c>
      <c r="P20">
        <f t="shared" si="0"/>
        <v>1</v>
      </c>
      <c r="S20" t="str">
        <f>IF($P20&gt;=$P22,$O20,$O22)</f>
        <v>Antonio M. Caro</v>
      </c>
      <c r="T20">
        <f t="shared" si="1"/>
        <v>1</v>
      </c>
      <c r="W20" t="str">
        <f>IF($T20&gt;=$T23,$S20,$S23)</f>
        <v>Antonio M. Caro</v>
      </c>
      <c r="X20">
        <f t="shared" si="2"/>
        <v>1</v>
      </c>
      <c r="AA20" t="str">
        <f>W20</f>
        <v>Antonio M. Caro</v>
      </c>
      <c r="AB20">
        <f>VLOOKUP(AA20,W17:X26,2,FALSE)</f>
        <v>1</v>
      </c>
      <c r="AE20" t="str">
        <f>AA20</f>
        <v>Antonio M. Caro</v>
      </c>
      <c r="AF20">
        <f>VLOOKUP(AE20,AA17:AB26,2,FALSE)</f>
        <v>1</v>
      </c>
      <c r="AI20" t="str">
        <f>AE20</f>
        <v>Antonio M. Caro</v>
      </c>
      <c r="AJ20">
        <f>VLOOKUP(AI20,AE17:AF26,2,FALSE)</f>
        <v>1</v>
      </c>
    </row>
    <row r="21" spans="6:37" x14ac:dyDescent="0.2">
      <c r="F21" t="str">
        <f>calculoA!F55</f>
        <v>Jesús García</v>
      </c>
      <c r="G21">
        <f>calculoA!G55</f>
        <v>3</v>
      </c>
      <c r="H21">
        <f>calculoA!H55</f>
        <v>0</v>
      </c>
      <c r="I21">
        <f>calculoA!I55</f>
        <v>3</v>
      </c>
      <c r="J21">
        <f>calculoA!J55</f>
        <v>0</v>
      </c>
      <c r="K21">
        <f>calculoA!K55</f>
        <v>6</v>
      </c>
      <c r="L21">
        <f>calculoA!L55</f>
        <v>-24</v>
      </c>
      <c r="M21">
        <f>calculoA!M55</f>
        <v>0</v>
      </c>
      <c r="O21" t="str">
        <f>IF($M21&lt;=$M20,$F21,$F20)</f>
        <v>Jesús García</v>
      </c>
      <c r="P21">
        <f t="shared" si="0"/>
        <v>0</v>
      </c>
      <c r="S21" t="str">
        <f>O21</f>
        <v>Jesús García</v>
      </c>
      <c r="T21">
        <f t="shared" si="1"/>
        <v>0</v>
      </c>
      <c r="W21" t="str">
        <f>S21</f>
        <v>Jesús García</v>
      </c>
      <c r="X21">
        <f t="shared" si="2"/>
        <v>0</v>
      </c>
      <c r="AA21" t="str">
        <f>IF(X21&gt;=X22,W21,W22)</f>
        <v>Fernando Sanz</v>
      </c>
      <c r="AB21">
        <f>VLOOKUP(AA21,W18:X27,2,FALSE)</f>
        <v>1</v>
      </c>
      <c r="AE21" t="str">
        <f>IF(AB21&gt;=AB23,AA21,AA23)</f>
        <v>Fernando Sanz</v>
      </c>
      <c r="AF21">
        <f>VLOOKUP(AE21,AA18:AB27,2,FALSE)</f>
        <v>1</v>
      </c>
      <c r="AI21" t="str">
        <f>AE21</f>
        <v>Fernando Sanz</v>
      </c>
      <c r="AJ21">
        <f>VLOOKUP(AI21,AE18:AF27,2,FALSE)</f>
        <v>1</v>
      </c>
    </row>
    <row r="22" spans="6:37" x14ac:dyDescent="0.2">
      <c r="F22" t="str">
        <f>calculoB!F54</f>
        <v>Fernando Sanz</v>
      </c>
      <c r="G22">
        <f>calculoB!G54</f>
        <v>3</v>
      </c>
      <c r="H22">
        <f>calculoB!H54</f>
        <v>1</v>
      </c>
      <c r="I22">
        <f>calculoB!I54</f>
        <v>2</v>
      </c>
      <c r="J22">
        <f>calculoB!J54</f>
        <v>3</v>
      </c>
      <c r="K22">
        <f>calculoB!K54</f>
        <v>5</v>
      </c>
      <c r="L22">
        <f>calculoB!L54</f>
        <v>-11.99</v>
      </c>
      <c r="M22">
        <f>calculoB!M54</f>
        <v>1</v>
      </c>
      <c r="O22" t="str">
        <f>F22</f>
        <v>Fernando Sanz</v>
      </c>
      <c r="P22">
        <f t="shared" si="0"/>
        <v>1</v>
      </c>
      <c r="S22" t="str">
        <f>IF($P22&lt;=$P20,$O22,$O20)</f>
        <v>Fernando Sanz</v>
      </c>
      <c r="T22">
        <f t="shared" si="1"/>
        <v>1</v>
      </c>
      <c r="W22" t="str">
        <f>S22</f>
        <v>Fernando Sanz</v>
      </c>
      <c r="X22">
        <f t="shared" si="2"/>
        <v>1</v>
      </c>
      <c r="AA22" t="str">
        <f>IF(X22&lt;=X21,W22,W21)</f>
        <v>Jesús García</v>
      </c>
      <c r="AB22">
        <f>VLOOKUP(AA22,W19:X28,2,FALSE)</f>
        <v>0</v>
      </c>
      <c r="AE22" t="str">
        <f>AA22</f>
        <v>Jesús García</v>
      </c>
      <c r="AF22">
        <f>VLOOKUP(AE22,AA19:AB28,2,FALSE)</f>
        <v>0</v>
      </c>
      <c r="AI22" t="str">
        <f>IF(AF22&gt;=AF23,AE22,AE23)</f>
        <v>Jesús García</v>
      </c>
      <c r="AJ22">
        <f>VLOOKUP(AI22,AE19:AF28,2,FALSE)</f>
        <v>0</v>
      </c>
    </row>
    <row r="23" spans="6:37" x14ac:dyDescent="0.2">
      <c r="F23" t="str">
        <f>calculoB!F55</f>
        <v>Luis C. Torres</v>
      </c>
      <c r="G23">
        <f>calculoB!G55</f>
        <v>3</v>
      </c>
      <c r="H23">
        <f>calculoB!H55</f>
        <v>0</v>
      </c>
      <c r="I23">
        <f>calculoB!I55</f>
        <v>3</v>
      </c>
      <c r="J23">
        <f>calculoB!J55</f>
        <v>1</v>
      </c>
      <c r="K23">
        <f>calculoB!K55</f>
        <v>6</v>
      </c>
      <c r="L23">
        <f>calculoB!L55</f>
        <v>-10.01</v>
      </c>
      <c r="M23">
        <f>calculoB!M55</f>
        <v>0</v>
      </c>
      <c r="O23" t="str">
        <f>F23</f>
        <v>Luis C. Torres</v>
      </c>
      <c r="P23">
        <f t="shared" si="0"/>
        <v>0</v>
      </c>
      <c r="S23" t="str">
        <f>O23</f>
        <v>Luis C. Torres</v>
      </c>
      <c r="T23">
        <f t="shared" si="1"/>
        <v>0</v>
      </c>
      <c r="W23" t="str">
        <f>IF($T23&lt;=$T20,$S23,$S20)</f>
        <v>Luis C. Torres</v>
      </c>
      <c r="X23">
        <f t="shared" si="2"/>
        <v>0</v>
      </c>
      <c r="AA23" t="str">
        <f>W23</f>
        <v>Luis C. Torres</v>
      </c>
      <c r="AB23">
        <f>VLOOKUP(AA23,W20:X29,2,FALSE)</f>
        <v>0</v>
      </c>
      <c r="AE23" t="str">
        <f>IF(AB23&lt;=AB21,AA23,AA21)</f>
        <v>Luis C. Torres</v>
      </c>
      <c r="AF23">
        <f>VLOOKUP(AE23,AA20:AB29,2,FALSE)</f>
        <v>0</v>
      </c>
      <c r="AI23" t="str">
        <f>IF(AF23&lt;=AF22,AE23,AE22)</f>
        <v>Luis C. Torres</v>
      </c>
      <c r="AJ23">
        <f>VLOOKUP(AI23,AE20:AF29,2,FALSE)</f>
        <v>0</v>
      </c>
    </row>
    <row r="27" spans="6:37" x14ac:dyDescent="0.2">
      <c r="J27" t="s">
        <v>6</v>
      </c>
      <c r="K27" t="s">
        <v>62</v>
      </c>
      <c r="L27" t="s">
        <v>63</v>
      </c>
      <c r="M27" t="s">
        <v>73</v>
      </c>
      <c r="P27" t="s">
        <v>6</v>
      </c>
      <c r="Q27" t="s">
        <v>73</v>
      </c>
      <c r="T27" t="s">
        <v>6</v>
      </c>
      <c r="U27" t="s">
        <v>73</v>
      </c>
      <c r="X27" t="s">
        <v>6</v>
      </c>
      <c r="Y27" t="s">
        <v>73</v>
      </c>
      <c r="AB27" t="s">
        <v>6</v>
      </c>
      <c r="AC27" t="s">
        <v>73</v>
      </c>
      <c r="AF27" t="s">
        <v>6</v>
      </c>
      <c r="AG27" t="s">
        <v>73</v>
      </c>
      <c r="AJ27" t="s">
        <v>6</v>
      </c>
      <c r="AK27" t="s">
        <v>73</v>
      </c>
    </row>
    <row r="28" spans="6:37" x14ac:dyDescent="0.2">
      <c r="F28" t="str">
        <f>AI16</f>
        <v>Sergio Soriano</v>
      </c>
      <c r="J28">
        <f>AJ16</f>
        <v>3</v>
      </c>
      <c r="K28">
        <f>VLOOKUP(AI16,$F$16:$M$25,5,FALSE)</f>
        <v>6</v>
      </c>
      <c r="L28">
        <f>VLOOKUP(AI16,$F$16:$M$25,6,FALSE)</f>
        <v>1</v>
      </c>
      <c r="M28">
        <f>K28-L28</f>
        <v>5</v>
      </c>
      <c r="O28" t="str">
        <f>IF(AND($J28=$J29,$M29&gt;$M28),$F29,$F28)</f>
        <v>Javier Cabello</v>
      </c>
      <c r="P28">
        <f t="shared" ref="P28:P35" si="3">VLOOKUP(O28,$F$28:$M$37,5,FALSE)</f>
        <v>3</v>
      </c>
      <c r="Q28">
        <f t="shared" ref="Q28:Q35" si="4">VLOOKUP(O28,$F$28:$M$37,8,FALSE)</f>
        <v>6</v>
      </c>
      <c r="S28" t="str">
        <f>IF(AND(P28=P30,Q30&gt;Q28),O30,O28)</f>
        <v>Javier Cabello</v>
      </c>
      <c r="T28">
        <f t="shared" ref="T28:T35" si="5">VLOOKUP(S28,$O$28:$Q$37,2,FALSE)</f>
        <v>3</v>
      </c>
      <c r="U28">
        <f t="shared" ref="U28:U35" si="6">VLOOKUP(S28,$O$28:$Q$37,3,FALSE)</f>
        <v>6</v>
      </c>
      <c r="W28" t="str">
        <f>IF(AND(T28=T31,U31&gt;U28),S31,S28)</f>
        <v>Javier Cabello</v>
      </c>
      <c r="X28">
        <f t="shared" ref="X28:X35" si="7">VLOOKUP(W28,$S$28:$U$37,2,FALSE)</f>
        <v>3</v>
      </c>
      <c r="Y28">
        <f t="shared" ref="Y28:Y35" si="8">VLOOKUP(W28,$S$28:$U$37,3,FALSE)</f>
        <v>6</v>
      </c>
      <c r="AA28" t="str">
        <f>W28</f>
        <v>Javier Cabello</v>
      </c>
      <c r="AB28">
        <f>VLOOKUP(AA28,W28:Y37,2,FALSE)</f>
        <v>3</v>
      </c>
      <c r="AC28">
        <f>VLOOKUP(AA28,W28:Y37,3,FALSE)</f>
        <v>6</v>
      </c>
      <c r="AE28" t="str">
        <f>AA28</f>
        <v>Javier Cabello</v>
      </c>
      <c r="AF28">
        <f>VLOOKUP(AE28,AA28:AC37,2,FALSE)</f>
        <v>3</v>
      </c>
      <c r="AG28">
        <f>VLOOKUP(AE28,AA28:AC37,3,FALSE)</f>
        <v>6</v>
      </c>
      <c r="AI28" t="str">
        <f>AE28</f>
        <v>Javier Cabello</v>
      </c>
      <c r="AJ28">
        <f>VLOOKUP(AI28,AE28:AG37,2,FALSE)</f>
        <v>3</v>
      </c>
      <c r="AK28">
        <f>VLOOKUP(AI28,AE28:AG37,3,FALSE)</f>
        <v>6</v>
      </c>
    </row>
    <row r="29" spans="6:37" x14ac:dyDescent="0.2">
      <c r="F29" t="str">
        <f t="shared" ref="F29:F35" si="9">AI17</f>
        <v>Javier Cabello</v>
      </c>
      <c r="J29">
        <f t="shared" ref="J29:J35" si="10">AJ17</f>
        <v>3</v>
      </c>
      <c r="K29">
        <f t="shared" ref="K29:K35" si="11">VLOOKUP(AI17,$F$16:$M$25,5,FALSE)</f>
        <v>6</v>
      </c>
      <c r="L29">
        <f t="shared" ref="L29:L35" si="12">VLOOKUP(AI17,$F$16:$M$25,6,FALSE)</f>
        <v>0</v>
      </c>
      <c r="M29">
        <f t="shared" ref="M29:M35" si="13">K29-L29</f>
        <v>6</v>
      </c>
      <c r="O29" t="str">
        <f>IF(AND($J28=$J29,$M29&gt;$M28),$F28,$F29)</f>
        <v>Sergio Soriano</v>
      </c>
      <c r="P29">
        <f t="shared" si="3"/>
        <v>3</v>
      </c>
      <c r="Q29">
        <f t="shared" si="4"/>
        <v>5</v>
      </c>
      <c r="S29" t="str">
        <f>O29</f>
        <v>Sergio Soriano</v>
      </c>
      <c r="T29">
        <f t="shared" si="5"/>
        <v>3</v>
      </c>
      <c r="U29">
        <f t="shared" si="6"/>
        <v>5</v>
      </c>
      <c r="W29" t="str">
        <f>S29</f>
        <v>Sergio Soriano</v>
      </c>
      <c r="X29">
        <f t="shared" si="7"/>
        <v>3</v>
      </c>
      <c r="Y29">
        <f t="shared" si="8"/>
        <v>5</v>
      </c>
      <c r="AA29" t="str">
        <f>IF(AND(X29=X30,Y30&gt;Y29),W30,W29)</f>
        <v>Sergio Soriano</v>
      </c>
      <c r="AB29">
        <f>VLOOKUP(AA29,W28:Y37,2,FALSE)</f>
        <v>3</v>
      </c>
      <c r="AC29">
        <f>VLOOKUP(AA29,W28:Y37,3,FALSE)</f>
        <v>5</v>
      </c>
      <c r="AE29" t="str">
        <f>IF(AND(AB29=AB31,AC31&gt;AC29),AA31,AA29)</f>
        <v>Sergio Soriano</v>
      </c>
      <c r="AF29">
        <f>VLOOKUP(AE29,AA28:AC37,2,FALSE)</f>
        <v>3</v>
      </c>
      <c r="AG29">
        <f>VLOOKUP(AE29,AA28:AC37,3,FALSE)</f>
        <v>5</v>
      </c>
      <c r="AI29" t="str">
        <f>AE29</f>
        <v>Sergio Soriano</v>
      </c>
      <c r="AJ29">
        <f>VLOOKUP(AI29,AE28:AG37,2,FALSE)</f>
        <v>3</v>
      </c>
      <c r="AK29">
        <f>VLOOKUP(AI29,AE28:AG37,3,FALSE)</f>
        <v>5</v>
      </c>
    </row>
    <row r="30" spans="6:37" x14ac:dyDescent="0.2">
      <c r="F30" t="str">
        <f t="shared" si="9"/>
        <v>José de Castro</v>
      </c>
      <c r="J30">
        <f t="shared" si="10"/>
        <v>2</v>
      </c>
      <c r="K30">
        <f t="shared" si="11"/>
        <v>5</v>
      </c>
      <c r="L30">
        <f t="shared" si="12"/>
        <v>2</v>
      </c>
      <c r="M30">
        <f t="shared" si="13"/>
        <v>3</v>
      </c>
      <c r="O30" t="str">
        <f>F30</f>
        <v>José de Castro</v>
      </c>
      <c r="P30">
        <f t="shared" si="3"/>
        <v>2</v>
      </c>
      <c r="Q30">
        <f t="shared" si="4"/>
        <v>3</v>
      </c>
      <c r="S30" t="str">
        <f>IF(AND($P28=P30,Q30&gt;Q28),O28,O30)</f>
        <v>José de Castro</v>
      </c>
      <c r="T30">
        <f t="shared" si="5"/>
        <v>2</v>
      </c>
      <c r="U30">
        <f t="shared" si="6"/>
        <v>3</v>
      </c>
      <c r="W30" t="str">
        <f>S30</f>
        <v>José de Castro</v>
      </c>
      <c r="X30">
        <f t="shared" si="7"/>
        <v>2</v>
      </c>
      <c r="Y30">
        <f t="shared" si="8"/>
        <v>3</v>
      </c>
      <c r="AA30" t="str">
        <f>IF(AND(X29=X30,Y30&gt;Y29),W29,W30)</f>
        <v>José de Castro</v>
      </c>
      <c r="AB30">
        <f>VLOOKUP(AA30,W28:Y37,2,FALSE)</f>
        <v>2</v>
      </c>
      <c r="AC30">
        <f>VLOOKUP(AA30,W28:Y37,3,FALSE)</f>
        <v>3</v>
      </c>
      <c r="AE30" t="str">
        <f>AA30</f>
        <v>José de Castro</v>
      </c>
      <c r="AF30">
        <f>VLOOKUP(AE30,AA28:AC37,2,FALSE)</f>
        <v>2</v>
      </c>
      <c r="AG30">
        <f>VLOOKUP(AE30,AA28:AC37,3,FALSE)</f>
        <v>3</v>
      </c>
      <c r="AI30" t="str">
        <f>IF(AND(AF30=AF31,AG31&gt;AG30),AE31,AE30)</f>
        <v>José de Castro</v>
      </c>
      <c r="AJ30">
        <f>VLOOKUP(AI30,AE28:AG37,2,FALSE)</f>
        <v>2</v>
      </c>
      <c r="AK30">
        <f>VLOOKUP(AI30,AE28:AG37,3,FALSE)</f>
        <v>3</v>
      </c>
    </row>
    <row r="31" spans="6:37" x14ac:dyDescent="0.2">
      <c r="F31" t="str">
        <f t="shared" si="9"/>
        <v>Isma Barrionuevo</v>
      </c>
      <c r="J31">
        <f t="shared" si="10"/>
        <v>2</v>
      </c>
      <c r="K31">
        <f t="shared" si="11"/>
        <v>4</v>
      </c>
      <c r="L31">
        <f t="shared" si="12"/>
        <v>3</v>
      </c>
      <c r="M31">
        <f t="shared" si="13"/>
        <v>1</v>
      </c>
      <c r="O31" t="str">
        <f>F31</f>
        <v>Isma Barrionuevo</v>
      </c>
      <c r="P31">
        <f t="shared" si="3"/>
        <v>2</v>
      </c>
      <c r="Q31">
        <f t="shared" si="4"/>
        <v>1</v>
      </c>
      <c r="S31" t="str">
        <f>O31</f>
        <v>Isma Barrionuevo</v>
      </c>
      <c r="T31">
        <f t="shared" si="5"/>
        <v>2</v>
      </c>
      <c r="U31">
        <f t="shared" si="6"/>
        <v>1</v>
      </c>
      <c r="W31" t="str">
        <f>IF(AND(T28=T31,U31&gt;U28),S28,S31)</f>
        <v>Isma Barrionuevo</v>
      </c>
      <c r="X31">
        <f t="shared" si="7"/>
        <v>2</v>
      </c>
      <c r="Y31">
        <f t="shared" si="8"/>
        <v>1</v>
      </c>
      <c r="AA31" t="str">
        <f>W31</f>
        <v>Isma Barrionuevo</v>
      </c>
      <c r="AB31">
        <f>VLOOKUP(AA31,W28:Y37,2,FALSE)</f>
        <v>2</v>
      </c>
      <c r="AC31">
        <f>VLOOKUP(AA31,W28:Y37,3,FALSE)</f>
        <v>1</v>
      </c>
      <c r="AE31" t="str">
        <f>IF(AND(AB29=AB31,AC31&gt;AC29),AA29,AA31)</f>
        <v>Isma Barrionuevo</v>
      </c>
      <c r="AF31">
        <f>VLOOKUP(AE31,AA28:AC37,2,FALSE)</f>
        <v>2</v>
      </c>
      <c r="AG31">
        <f>VLOOKUP(AE31,AA28:AC37,3,FALSE)</f>
        <v>1</v>
      </c>
      <c r="AI31" t="str">
        <f>IF(AND(AF30=AF31,AG31&gt;AG30),AE30,AE31)</f>
        <v>Isma Barrionuevo</v>
      </c>
      <c r="AJ31">
        <f>VLOOKUP(AI31,AE28:AG37,2,FALSE)</f>
        <v>2</v>
      </c>
      <c r="AK31">
        <f>VLOOKUP(AI31,AE28:AG37,3,FALSE)</f>
        <v>1</v>
      </c>
    </row>
    <row r="32" spans="6:37" x14ac:dyDescent="0.2">
      <c r="F32" t="str">
        <f t="shared" si="9"/>
        <v>Antonio M. Caro</v>
      </c>
      <c r="J32">
        <f t="shared" si="10"/>
        <v>1</v>
      </c>
      <c r="K32">
        <f t="shared" si="11"/>
        <v>2</v>
      </c>
      <c r="L32">
        <f t="shared" si="12"/>
        <v>4</v>
      </c>
      <c r="M32">
        <f t="shared" si="13"/>
        <v>-2</v>
      </c>
      <c r="O32" t="str">
        <f>IF(AND($J32=$J33,$M33&gt;$M32),$F33,$F32)</f>
        <v>Antonio M. Caro</v>
      </c>
      <c r="P32">
        <f t="shared" si="3"/>
        <v>1</v>
      </c>
      <c r="Q32">
        <f t="shared" si="4"/>
        <v>-2</v>
      </c>
      <c r="S32" t="str">
        <f>IF(AND(P32=P34,Q34&gt;Q32),O34,O32)</f>
        <v>Antonio M. Caro</v>
      </c>
      <c r="T32">
        <f t="shared" si="5"/>
        <v>1</v>
      </c>
      <c r="U32">
        <f t="shared" si="6"/>
        <v>-2</v>
      </c>
      <c r="W32" t="str">
        <f>IF(AND(T32=T35,U35&gt;U32),S35,S32)</f>
        <v>Antonio M. Caro</v>
      </c>
      <c r="X32">
        <f t="shared" si="7"/>
        <v>1</v>
      </c>
      <c r="Y32">
        <f t="shared" si="8"/>
        <v>-2</v>
      </c>
      <c r="AA32" t="str">
        <f>W32</f>
        <v>Antonio M. Caro</v>
      </c>
      <c r="AB32">
        <f>VLOOKUP(AA32,W29:Y38,2,FALSE)</f>
        <v>1</v>
      </c>
      <c r="AC32">
        <f>VLOOKUP(AA32,W29:Y38,3,FALSE)</f>
        <v>-2</v>
      </c>
      <c r="AE32" t="str">
        <f>AA32</f>
        <v>Antonio M. Caro</v>
      </c>
      <c r="AF32">
        <f>VLOOKUP(AE32,AA29:AC38,2,FALSE)</f>
        <v>1</v>
      </c>
      <c r="AG32">
        <f>VLOOKUP(AE32,AA29:AC38,3,FALSE)</f>
        <v>-2</v>
      </c>
      <c r="AI32" t="str">
        <f>AE32</f>
        <v>Antonio M. Caro</v>
      </c>
      <c r="AJ32">
        <f>VLOOKUP(AI32,AE29:AG38,2,FALSE)</f>
        <v>1</v>
      </c>
      <c r="AK32">
        <f>VLOOKUP(AI32,AE29:AG38,3,FALSE)</f>
        <v>-2</v>
      </c>
    </row>
    <row r="33" spans="6:38" x14ac:dyDescent="0.2">
      <c r="F33" t="str">
        <f t="shared" si="9"/>
        <v>Fernando Sanz</v>
      </c>
      <c r="J33">
        <f t="shared" si="10"/>
        <v>1</v>
      </c>
      <c r="K33">
        <f t="shared" si="11"/>
        <v>3</v>
      </c>
      <c r="L33">
        <f t="shared" si="12"/>
        <v>5</v>
      </c>
      <c r="M33">
        <f t="shared" si="13"/>
        <v>-2</v>
      </c>
      <c r="O33" t="str">
        <f>IF(AND($J32=$J33,$M33&gt;$M32),$F32,$F33)</f>
        <v>Fernando Sanz</v>
      </c>
      <c r="P33">
        <f t="shared" si="3"/>
        <v>1</v>
      </c>
      <c r="Q33">
        <f t="shared" si="4"/>
        <v>-2</v>
      </c>
      <c r="S33" t="str">
        <f>O33</f>
        <v>Fernando Sanz</v>
      </c>
      <c r="T33">
        <f t="shared" si="5"/>
        <v>1</v>
      </c>
      <c r="U33">
        <f t="shared" si="6"/>
        <v>-2</v>
      </c>
      <c r="W33" t="str">
        <f>S33</f>
        <v>Fernando Sanz</v>
      </c>
      <c r="X33">
        <f t="shared" si="7"/>
        <v>1</v>
      </c>
      <c r="Y33">
        <f t="shared" si="8"/>
        <v>-2</v>
      </c>
      <c r="AA33" t="str">
        <f>IF(AND(X33=X34,Y34&gt;Y33),W34,W33)</f>
        <v>Fernando Sanz</v>
      </c>
      <c r="AB33">
        <f>VLOOKUP(AA33,W30:Y39,2,FALSE)</f>
        <v>1</v>
      </c>
      <c r="AC33">
        <f>VLOOKUP(AA33,W30:Y39,3,FALSE)</f>
        <v>-2</v>
      </c>
      <c r="AE33" t="str">
        <f>IF(AND(AB33=AB35,AC35&gt;AC33),AA35,AA33)</f>
        <v>Fernando Sanz</v>
      </c>
      <c r="AF33">
        <f>VLOOKUP(AE33,AA30:AC39,2,FALSE)</f>
        <v>1</v>
      </c>
      <c r="AG33">
        <f>VLOOKUP(AE33,AA30:AC39,3,FALSE)</f>
        <v>-2</v>
      </c>
      <c r="AI33" t="str">
        <f>AE33</f>
        <v>Fernando Sanz</v>
      </c>
      <c r="AJ33">
        <f>VLOOKUP(AI33,AE30:AG39,2,FALSE)</f>
        <v>1</v>
      </c>
      <c r="AK33">
        <f>VLOOKUP(AI33,AE30:AG39,3,FALSE)</f>
        <v>-2</v>
      </c>
    </row>
    <row r="34" spans="6:38" x14ac:dyDescent="0.2">
      <c r="F34" t="str">
        <f t="shared" si="9"/>
        <v>Jesús García</v>
      </c>
      <c r="J34">
        <f t="shared" si="10"/>
        <v>0</v>
      </c>
      <c r="K34">
        <f t="shared" si="11"/>
        <v>0</v>
      </c>
      <c r="L34">
        <f t="shared" si="12"/>
        <v>6</v>
      </c>
      <c r="M34">
        <f t="shared" si="13"/>
        <v>-6</v>
      </c>
      <c r="O34" t="str">
        <f>F34</f>
        <v>Jesús García</v>
      </c>
      <c r="P34">
        <f t="shared" si="3"/>
        <v>0</v>
      </c>
      <c r="Q34">
        <f t="shared" si="4"/>
        <v>-6</v>
      </c>
      <c r="S34" t="str">
        <f>IF(AND($P32=P34,Q34&gt;Q32),O32,O34)</f>
        <v>Jesús García</v>
      </c>
      <c r="T34">
        <f t="shared" si="5"/>
        <v>0</v>
      </c>
      <c r="U34">
        <f t="shared" si="6"/>
        <v>-6</v>
      </c>
      <c r="W34" t="str">
        <f>S34</f>
        <v>Jesús García</v>
      </c>
      <c r="X34">
        <f t="shared" si="7"/>
        <v>0</v>
      </c>
      <c r="Y34">
        <f t="shared" si="8"/>
        <v>-6</v>
      </c>
      <c r="AA34" t="str">
        <f>IF(AND(X33=X34,Y34&gt;Y33),W33,W34)</f>
        <v>Jesús García</v>
      </c>
      <c r="AB34">
        <f>VLOOKUP(AA34,W31:Y40,2,FALSE)</f>
        <v>0</v>
      </c>
      <c r="AC34">
        <f>VLOOKUP(AA34,W31:Y40,3,FALSE)</f>
        <v>-6</v>
      </c>
      <c r="AE34" t="str">
        <f>AA34</f>
        <v>Jesús García</v>
      </c>
      <c r="AF34">
        <f>VLOOKUP(AE34,AA31:AC40,2,FALSE)</f>
        <v>0</v>
      </c>
      <c r="AG34">
        <f>VLOOKUP(AE34,AA31:AC40,3,FALSE)</f>
        <v>-6</v>
      </c>
      <c r="AI34" t="str">
        <f>IF(AND(AF34=AF35,AG35&gt;AG34),AE35,AE34)</f>
        <v>Luis C. Torres</v>
      </c>
      <c r="AJ34">
        <f>VLOOKUP(AI34,AE31:AG40,2,FALSE)</f>
        <v>0</v>
      </c>
      <c r="AK34">
        <f>VLOOKUP(AI34,AE31:AG40,3,FALSE)</f>
        <v>-5</v>
      </c>
    </row>
    <row r="35" spans="6:38" x14ac:dyDescent="0.2">
      <c r="F35" t="str">
        <f t="shared" si="9"/>
        <v>Luis C. Torres</v>
      </c>
      <c r="J35">
        <f t="shared" si="10"/>
        <v>0</v>
      </c>
      <c r="K35">
        <f t="shared" si="11"/>
        <v>1</v>
      </c>
      <c r="L35">
        <f t="shared" si="12"/>
        <v>6</v>
      </c>
      <c r="M35">
        <f t="shared" si="13"/>
        <v>-5</v>
      </c>
      <c r="O35" t="str">
        <f>F35</f>
        <v>Luis C. Torres</v>
      </c>
      <c r="P35">
        <f t="shared" si="3"/>
        <v>0</v>
      </c>
      <c r="Q35">
        <f t="shared" si="4"/>
        <v>-5</v>
      </c>
      <c r="S35" t="str">
        <f>O35</f>
        <v>Luis C. Torres</v>
      </c>
      <c r="T35">
        <f t="shared" si="5"/>
        <v>0</v>
      </c>
      <c r="U35">
        <f t="shared" si="6"/>
        <v>-5</v>
      </c>
      <c r="W35" t="str">
        <f>IF(AND(T32=T35,U35&gt;U32),S32,S35)</f>
        <v>Luis C. Torres</v>
      </c>
      <c r="X35">
        <f t="shared" si="7"/>
        <v>0</v>
      </c>
      <c r="Y35">
        <f t="shared" si="8"/>
        <v>-5</v>
      </c>
      <c r="AA35" t="str">
        <f>W35</f>
        <v>Luis C. Torres</v>
      </c>
      <c r="AB35">
        <f>VLOOKUP(AA35,W32:Y41,2,FALSE)</f>
        <v>0</v>
      </c>
      <c r="AC35">
        <f>VLOOKUP(AA35,W32:Y41,3,FALSE)</f>
        <v>-5</v>
      </c>
      <c r="AE35" t="str">
        <f>IF(AND(AB33=AB35,AC35&gt;AC33),AA33,AA35)</f>
        <v>Luis C. Torres</v>
      </c>
      <c r="AF35">
        <f>VLOOKUP(AE35,AA32:AC41,2,FALSE)</f>
        <v>0</v>
      </c>
      <c r="AG35">
        <f>VLOOKUP(AE35,AA32:AC41,3,FALSE)</f>
        <v>-5</v>
      </c>
      <c r="AI35" t="str">
        <f>IF(AND(AF34=AF35,AG35&gt;AG34),AE34,AE35)</f>
        <v>Jesús García</v>
      </c>
      <c r="AJ35">
        <f>VLOOKUP(AI35,AE32:AG41,2,FALSE)</f>
        <v>0</v>
      </c>
      <c r="AK35">
        <f>VLOOKUP(AI35,AE32:AG41,3,FALSE)</f>
        <v>-6</v>
      </c>
    </row>
    <row r="39" spans="6:38" x14ac:dyDescent="0.2">
      <c r="J39" t="s">
        <v>6</v>
      </c>
      <c r="K39" t="s">
        <v>73</v>
      </c>
      <c r="L39" t="s">
        <v>66</v>
      </c>
      <c r="P39" t="s">
        <v>6</v>
      </c>
      <c r="Q39" t="s">
        <v>73</v>
      </c>
      <c r="R39" t="s">
        <v>66</v>
      </c>
      <c r="T39" t="s">
        <v>6</v>
      </c>
      <c r="U39" t="s">
        <v>73</v>
      </c>
      <c r="V39" t="s">
        <v>66</v>
      </c>
      <c r="X39" t="s">
        <v>6</v>
      </c>
      <c r="Y39" t="s">
        <v>73</v>
      </c>
      <c r="Z39" t="s">
        <v>66</v>
      </c>
      <c r="AB39" t="s">
        <v>6</v>
      </c>
      <c r="AC39" t="s">
        <v>73</v>
      </c>
      <c r="AD39" t="s">
        <v>66</v>
      </c>
      <c r="AF39" t="s">
        <v>6</v>
      </c>
      <c r="AG39" t="s">
        <v>73</v>
      </c>
      <c r="AH39" t="s">
        <v>66</v>
      </c>
      <c r="AJ39" t="s">
        <v>6</v>
      </c>
      <c r="AK39" t="s">
        <v>73</v>
      </c>
      <c r="AL39" t="s">
        <v>66</v>
      </c>
    </row>
    <row r="40" spans="6:38" x14ac:dyDescent="0.2">
      <c r="F40" t="str">
        <f t="shared" ref="F40:F47" si="14">AI28</f>
        <v>Javier Cabello</v>
      </c>
      <c r="J40">
        <f>AJ28</f>
        <v>3</v>
      </c>
      <c r="K40">
        <f>AK28</f>
        <v>6</v>
      </c>
      <c r="L40">
        <f t="shared" ref="L40:L47" si="15">VLOOKUP(F40,$F$16:$M$25,7,FALSE)</f>
        <v>18</v>
      </c>
      <c r="M40">
        <f t="shared" ref="M40:M47" si="16">K40</f>
        <v>6</v>
      </c>
      <c r="O40" t="str">
        <f>IF(AND(J40=J41,K40=K41,L41&gt;L40),F41,F40)</f>
        <v>Javier Cabello</v>
      </c>
      <c r="P40">
        <f t="shared" ref="P40:P47" si="17">VLOOKUP(O40,$F$40:$M$49,5,FALSE)</f>
        <v>3</v>
      </c>
      <c r="Q40">
        <f t="shared" ref="Q40:Q47" si="18">VLOOKUP(O40,$F$40:$M$49,6,FALSE)</f>
        <v>6</v>
      </c>
      <c r="R40">
        <f t="shared" ref="R40:R47" si="19">VLOOKUP(O40,$F$40:$M$49,7,FALSE)</f>
        <v>18</v>
      </c>
      <c r="S40" t="str">
        <f>IF(AND(P40=P42,Q40=Q42,R42&gt;R40),O42,O40)</f>
        <v>Javier Cabello</v>
      </c>
      <c r="T40">
        <f t="shared" ref="T40:T47" si="20">VLOOKUP(S40,$O$40:$R$49,2,FALSE)</f>
        <v>3</v>
      </c>
      <c r="U40">
        <f t="shared" ref="U40:U47" si="21">VLOOKUP(S40,$O$40:$R$49,3,FALSE)</f>
        <v>6</v>
      </c>
      <c r="V40">
        <f t="shared" ref="V40:V47" si="22">VLOOKUP(S40,$O$40:$R$49,4,FALSE)</f>
        <v>18</v>
      </c>
      <c r="W40" t="str">
        <f>IF(AND(T40=T43,U40=U43,V43&gt;V40),S43,S40)</f>
        <v>Javier Cabello</v>
      </c>
      <c r="X40">
        <f t="shared" ref="X40:X47" si="23">VLOOKUP(W40,$S$40:$V$49,2,FALSE)</f>
        <v>3</v>
      </c>
      <c r="Y40">
        <f t="shared" ref="Y40:Y47" si="24">VLOOKUP(W40,$S$40:$V$49,3,FALSE)</f>
        <v>6</v>
      </c>
      <c r="Z40">
        <f t="shared" ref="Z40:Z47" si="25">VLOOKUP(W40,$S$40:$V$49,4,FALSE)</f>
        <v>18</v>
      </c>
      <c r="AA40" t="str">
        <f>W40</f>
        <v>Javier Cabello</v>
      </c>
      <c r="AB40">
        <f>VLOOKUP(AA40,W40:Z49,2,FALSE)</f>
        <v>3</v>
      </c>
      <c r="AC40">
        <f>VLOOKUP(AA40,W40:Z49,3,FALSE)</f>
        <v>6</v>
      </c>
      <c r="AD40">
        <f>VLOOKUP(AA40,W40:Z49,4,FALSE)</f>
        <v>18</v>
      </c>
      <c r="AE40" t="str">
        <f>AA40</f>
        <v>Javier Cabello</v>
      </c>
      <c r="AF40">
        <f>VLOOKUP(AE40,AA40:AD49,2,FALSE)</f>
        <v>3</v>
      </c>
      <c r="AG40">
        <f>VLOOKUP(AE40,AA40:AD49,3,FALSE)</f>
        <v>6</v>
      </c>
      <c r="AH40">
        <f>VLOOKUP(AE40,AA40:AD49,4,FALSE)</f>
        <v>18</v>
      </c>
      <c r="AI40" t="str">
        <f>AE40</f>
        <v>Javier Cabello</v>
      </c>
      <c r="AJ40">
        <f>VLOOKUP(AI40,AE40:AH49,2,FALSE)</f>
        <v>3</v>
      </c>
      <c r="AK40">
        <f>VLOOKUP(AI40,AE40:AH49,3,FALSE)</f>
        <v>6</v>
      </c>
      <c r="AL40">
        <f>VLOOKUP(AI40,AE40:AH49,4,FALSE)</f>
        <v>18</v>
      </c>
    </row>
    <row r="41" spans="6:38" x14ac:dyDescent="0.2">
      <c r="F41" t="str">
        <f t="shared" si="14"/>
        <v>Sergio Soriano</v>
      </c>
      <c r="J41">
        <f t="shared" ref="J41:K43" si="26">AJ29</f>
        <v>3</v>
      </c>
      <c r="K41">
        <f t="shared" si="26"/>
        <v>5</v>
      </c>
      <c r="L41">
        <f t="shared" si="15"/>
        <v>22.009999999999998</v>
      </c>
      <c r="M41">
        <f t="shared" si="16"/>
        <v>5</v>
      </c>
      <c r="O41" t="str">
        <f>IF(AND(J40=J41,K40=K41,L41&gt;L40),F40,F41)</f>
        <v>Sergio Soriano</v>
      </c>
      <c r="P41">
        <f t="shared" si="17"/>
        <v>3</v>
      </c>
      <c r="Q41">
        <f t="shared" si="18"/>
        <v>5</v>
      </c>
      <c r="R41">
        <f t="shared" si="19"/>
        <v>22.009999999999998</v>
      </c>
      <c r="S41" t="str">
        <f>O41</f>
        <v>Sergio Soriano</v>
      </c>
      <c r="T41">
        <f t="shared" si="20"/>
        <v>3</v>
      </c>
      <c r="U41">
        <f t="shared" si="21"/>
        <v>5</v>
      </c>
      <c r="V41">
        <f t="shared" si="22"/>
        <v>22.009999999999998</v>
      </c>
      <c r="W41" t="str">
        <f>S41</f>
        <v>Sergio Soriano</v>
      </c>
      <c r="X41">
        <f t="shared" si="23"/>
        <v>3</v>
      </c>
      <c r="Y41">
        <f t="shared" si="24"/>
        <v>5</v>
      </c>
      <c r="Z41">
        <f t="shared" si="25"/>
        <v>22.009999999999998</v>
      </c>
      <c r="AA41" t="str">
        <f>IF(AND(X41=X42,Y41=Y42,Z42&gt;Z41),W42,W41)</f>
        <v>Sergio Soriano</v>
      </c>
      <c r="AB41">
        <f>VLOOKUP(AA41,W40:Z49,2,FALSE)</f>
        <v>3</v>
      </c>
      <c r="AC41">
        <f>VLOOKUP(AA41,W40:Z49,3,FALSE)</f>
        <v>5</v>
      </c>
      <c r="AD41">
        <f>VLOOKUP(AA41,W40:Z49,4,FALSE)</f>
        <v>22.009999999999998</v>
      </c>
      <c r="AE41" t="str">
        <f>IF(AND(AB41=AB43,AC41=AC43,AD43&gt;AD41),AA43,AA41)</f>
        <v>Sergio Soriano</v>
      </c>
      <c r="AF41">
        <f>VLOOKUP(AE41,AA40:AD49,2,FALSE)</f>
        <v>3</v>
      </c>
      <c r="AG41">
        <f>VLOOKUP(AE41,AA40:AD49,3,FALSE)</f>
        <v>5</v>
      </c>
      <c r="AH41">
        <f>VLOOKUP(AE41,AA40:AD49,4,FALSE)</f>
        <v>22.009999999999998</v>
      </c>
      <c r="AI41" t="str">
        <f>AE41</f>
        <v>Sergio Soriano</v>
      </c>
      <c r="AJ41">
        <f>VLOOKUP(AI41,AE40:AH49,2,FALSE)</f>
        <v>3</v>
      </c>
      <c r="AK41">
        <f>VLOOKUP(AI41,AE40:AH49,3,FALSE)</f>
        <v>5</v>
      </c>
      <c r="AL41">
        <f>VLOOKUP(AI41,AE40:AH49,4,FALSE)</f>
        <v>22.009999999999998</v>
      </c>
    </row>
    <row r="42" spans="6:38" x14ac:dyDescent="0.2">
      <c r="F42" t="str">
        <f t="shared" si="14"/>
        <v>José de Castro</v>
      </c>
      <c r="J42">
        <f t="shared" si="26"/>
        <v>2</v>
      </c>
      <c r="K42">
        <f t="shared" si="26"/>
        <v>3</v>
      </c>
      <c r="L42">
        <f t="shared" si="15"/>
        <v>16.990000000000002</v>
      </c>
      <c r="M42">
        <f t="shared" si="16"/>
        <v>3</v>
      </c>
      <c r="O42" t="str">
        <f>F42</f>
        <v>José de Castro</v>
      </c>
      <c r="P42">
        <f t="shared" si="17"/>
        <v>2</v>
      </c>
      <c r="Q42">
        <f t="shared" si="18"/>
        <v>3</v>
      </c>
      <c r="R42">
        <f t="shared" si="19"/>
        <v>16.990000000000002</v>
      </c>
      <c r="S42" t="str">
        <f>IF(AND(P40=P42,Q40=Q42,R42&gt;R40),O40,O42)</f>
        <v>José de Castro</v>
      </c>
      <c r="T42">
        <f t="shared" si="20"/>
        <v>2</v>
      </c>
      <c r="U42">
        <f t="shared" si="21"/>
        <v>3</v>
      </c>
      <c r="V42">
        <f t="shared" si="22"/>
        <v>16.990000000000002</v>
      </c>
      <c r="W42" t="str">
        <f>S42</f>
        <v>José de Castro</v>
      </c>
      <c r="X42">
        <f t="shared" si="23"/>
        <v>2</v>
      </c>
      <c r="Y42">
        <f t="shared" si="24"/>
        <v>3</v>
      </c>
      <c r="Z42">
        <f t="shared" si="25"/>
        <v>16.990000000000002</v>
      </c>
      <c r="AA42" t="str">
        <f>IF(AND(X41=X42,Y41=Y42,Z42&gt;Z41),W41,W42)</f>
        <v>José de Castro</v>
      </c>
      <c r="AB42">
        <f>VLOOKUP(AA42,W40:Z49,2,FALSE)</f>
        <v>2</v>
      </c>
      <c r="AC42">
        <f>VLOOKUP(AA42,W40:Z49,3,FALSE)</f>
        <v>3</v>
      </c>
      <c r="AD42">
        <f>VLOOKUP(AA42,W40:Z49,4,FALSE)</f>
        <v>16.990000000000002</v>
      </c>
      <c r="AE42" t="str">
        <f>AA42</f>
        <v>José de Castro</v>
      </c>
      <c r="AF42">
        <f>VLOOKUP(AE42,AA40:AD49,2,FALSE)</f>
        <v>2</v>
      </c>
      <c r="AG42">
        <f>VLOOKUP(AE42,AA40:AD49,3,FALSE)</f>
        <v>3</v>
      </c>
      <c r="AH42">
        <f>VLOOKUP(AE42,AA40:AD49,4,FALSE)</f>
        <v>16.990000000000002</v>
      </c>
      <c r="AI42" t="str">
        <f>IF(AND(AF42=AF43,AG42=AG43,AH43&gt;AH42),AE43,AE42)</f>
        <v>José de Castro</v>
      </c>
      <c r="AJ42">
        <f>VLOOKUP(AI42,AE40:AH49,2,FALSE)</f>
        <v>2</v>
      </c>
      <c r="AK42">
        <f>VLOOKUP(AI42,AE40:AH49,3,FALSE)</f>
        <v>3</v>
      </c>
      <c r="AL42">
        <f>VLOOKUP(AI42,AE40:AH49,4,FALSE)</f>
        <v>16.990000000000002</v>
      </c>
    </row>
    <row r="43" spans="6:38" x14ac:dyDescent="0.2">
      <c r="F43" t="str">
        <f t="shared" si="14"/>
        <v>Isma Barrionuevo</v>
      </c>
      <c r="J43">
        <f t="shared" si="26"/>
        <v>2</v>
      </c>
      <c r="K43">
        <f t="shared" si="26"/>
        <v>1</v>
      </c>
      <c r="L43">
        <f t="shared" si="15"/>
        <v>4</v>
      </c>
      <c r="M43">
        <f t="shared" si="16"/>
        <v>1</v>
      </c>
      <c r="O43" t="str">
        <f>F43</f>
        <v>Isma Barrionuevo</v>
      </c>
      <c r="P43">
        <f t="shared" si="17"/>
        <v>2</v>
      </c>
      <c r="Q43">
        <f t="shared" si="18"/>
        <v>1</v>
      </c>
      <c r="R43">
        <f t="shared" si="19"/>
        <v>4</v>
      </c>
      <c r="S43" t="str">
        <f>O43</f>
        <v>Isma Barrionuevo</v>
      </c>
      <c r="T43">
        <f t="shared" si="20"/>
        <v>2</v>
      </c>
      <c r="U43">
        <f t="shared" si="21"/>
        <v>1</v>
      </c>
      <c r="V43">
        <f t="shared" si="22"/>
        <v>4</v>
      </c>
      <c r="W43" t="str">
        <f>IF(AND(T40=T43,U40=U43,V43&gt;V40),S40,S43)</f>
        <v>Isma Barrionuevo</v>
      </c>
      <c r="X43">
        <f t="shared" si="23"/>
        <v>2</v>
      </c>
      <c r="Y43">
        <f t="shared" si="24"/>
        <v>1</v>
      </c>
      <c r="Z43">
        <f t="shared" si="25"/>
        <v>4</v>
      </c>
      <c r="AA43" t="str">
        <f>W43</f>
        <v>Isma Barrionuevo</v>
      </c>
      <c r="AB43">
        <f>VLOOKUP(AA43,W40:Z49,2,FALSE)</f>
        <v>2</v>
      </c>
      <c r="AC43">
        <f>VLOOKUP(AA43,W40:Z49,3,FALSE)</f>
        <v>1</v>
      </c>
      <c r="AD43">
        <f>VLOOKUP(AA43,W40:Z49,4,FALSE)</f>
        <v>4</v>
      </c>
      <c r="AE43" t="str">
        <f>IF(AND(AB41=AB43,AC41=AC43,AD43&gt;AD41),AA41,AA43)</f>
        <v>Isma Barrionuevo</v>
      </c>
      <c r="AF43">
        <f>VLOOKUP(AE43,AA40:AD49,2,FALSE)</f>
        <v>2</v>
      </c>
      <c r="AG43">
        <f>VLOOKUP(AE43,AA40:AD49,3,FALSE)</f>
        <v>1</v>
      </c>
      <c r="AH43">
        <f>VLOOKUP(AE43,AA40:AD49,4,FALSE)</f>
        <v>4</v>
      </c>
      <c r="AI43" t="str">
        <f>IF(AND(AF42=AF43,AG42=AG43,AH43&gt;AH42),AE42,AE43)</f>
        <v>Isma Barrionuevo</v>
      </c>
      <c r="AJ43">
        <f>VLOOKUP(AI43,AE40:AH49,2,FALSE)</f>
        <v>2</v>
      </c>
      <c r="AK43">
        <f>VLOOKUP(AI43,AE40:AH49,3,FALSE)</f>
        <v>1</v>
      </c>
      <c r="AL43">
        <f>VLOOKUP(AI43,AE40:AH49,4,FALSE)</f>
        <v>4</v>
      </c>
    </row>
    <row r="44" spans="6:38" x14ac:dyDescent="0.2">
      <c r="F44" t="str">
        <f t="shared" si="14"/>
        <v>Antonio M. Caro</v>
      </c>
      <c r="J44">
        <f t="shared" ref="J44:K47" si="27">AJ32</f>
        <v>1</v>
      </c>
      <c r="K44">
        <f t="shared" si="27"/>
        <v>-2</v>
      </c>
      <c r="L44">
        <f t="shared" si="15"/>
        <v>-15</v>
      </c>
      <c r="M44">
        <f t="shared" si="16"/>
        <v>-2</v>
      </c>
      <c r="O44" t="str">
        <f>IF(AND(J44=J45,K44=K45,L45&gt;L44),F45,F44)</f>
        <v>Fernando Sanz</v>
      </c>
      <c r="P44">
        <f t="shared" si="17"/>
        <v>1</v>
      </c>
      <c r="Q44">
        <f t="shared" si="18"/>
        <v>-2</v>
      </c>
      <c r="R44">
        <f t="shared" si="19"/>
        <v>-11.99</v>
      </c>
      <c r="S44" t="str">
        <f>IF(AND(P44=P46,Q44=Q46,R46&gt;R44),O46,O44)</f>
        <v>Fernando Sanz</v>
      </c>
      <c r="T44">
        <f t="shared" si="20"/>
        <v>1</v>
      </c>
      <c r="U44">
        <f t="shared" si="21"/>
        <v>-2</v>
      </c>
      <c r="V44">
        <f t="shared" si="22"/>
        <v>-11.99</v>
      </c>
      <c r="W44" t="str">
        <f>IF(AND(T44=T47,U44=U47,V47&gt;V44),S47,S44)</f>
        <v>Fernando Sanz</v>
      </c>
      <c r="X44">
        <f t="shared" si="23"/>
        <v>1</v>
      </c>
      <c r="Y44">
        <f t="shared" si="24"/>
        <v>-2</v>
      </c>
      <c r="Z44">
        <f t="shared" si="25"/>
        <v>-11.99</v>
      </c>
      <c r="AA44" t="str">
        <f>W44</f>
        <v>Fernando Sanz</v>
      </c>
      <c r="AB44">
        <f>VLOOKUP(AA44,W44:Z53,2,FALSE)</f>
        <v>1</v>
      </c>
      <c r="AC44">
        <f>VLOOKUP(AA44,W44:Z53,3,FALSE)</f>
        <v>-2</v>
      </c>
      <c r="AD44">
        <f>VLOOKUP(AA44,W44:Z53,4,FALSE)</f>
        <v>-11.99</v>
      </c>
      <c r="AE44" t="str">
        <f>AA44</f>
        <v>Fernando Sanz</v>
      </c>
      <c r="AF44">
        <f>VLOOKUP(AE44,AA44:AD53,2,FALSE)</f>
        <v>1</v>
      </c>
      <c r="AG44">
        <f>VLOOKUP(AE44,AA44:AD53,3,FALSE)</f>
        <v>-2</v>
      </c>
      <c r="AH44">
        <f>VLOOKUP(AE44,AA44:AD53,4,FALSE)</f>
        <v>-11.99</v>
      </c>
      <c r="AI44" t="str">
        <f>AE44</f>
        <v>Fernando Sanz</v>
      </c>
      <c r="AJ44">
        <f>VLOOKUP(AI44,AE44:AH53,2,FALSE)</f>
        <v>1</v>
      </c>
      <c r="AK44">
        <f>VLOOKUP(AI44,AE44:AH53,3,FALSE)</f>
        <v>-2</v>
      </c>
      <c r="AL44">
        <f>VLOOKUP(AI44,AE44:AH53,4,FALSE)</f>
        <v>-11.99</v>
      </c>
    </row>
    <row r="45" spans="6:38" x14ac:dyDescent="0.2">
      <c r="F45" t="str">
        <f t="shared" si="14"/>
        <v>Fernando Sanz</v>
      </c>
      <c r="J45">
        <f t="shared" si="27"/>
        <v>1</v>
      </c>
      <c r="K45">
        <f t="shared" si="27"/>
        <v>-2</v>
      </c>
      <c r="L45">
        <f t="shared" si="15"/>
        <v>-11.99</v>
      </c>
      <c r="M45">
        <f t="shared" si="16"/>
        <v>-2</v>
      </c>
      <c r="O45" t="str">
        <f>IF(AND(J44=J45,K44=K45,L45&gt;L44),F44,F45)</f>
        <v>Antonio M. Caro</v>
      </c>
      <c r="P45">
        <f t="shared" si="17"/>
        <v>1</v>
      </c>
      <c r="Q45">
        <f t="shared" si="18"/>
        <v>-2</v>
      </c>
      <c r="R45">
        <f t="shared" si="19"/>
        <v>-15</v>
      </c>
      <c r="S45" t="str">
        <f>O45</f>
        <v>Antonio M. Caro</v>
      </c>
      <c r="T45">
        <f t="shared" si="20"/>
        <v>1</v>
      </c>
      <c r="U45">
        <f t="shared" si="21"/>
        <v>-2</v>
      </c>
      <c r="V45">
        <f t="shared" si="22"/>
        <v>-15</v>
      </c>
      <c r="W45" t="str">
        <f>S45</f>
        <v>Antonio M. Caro</v>
      </c>
      <c r="X45">
        <f t="shared" si="23"/>
        <v>1</v>
      </c>
      <c r="Y45">
        <f t="shared" si="24"/>
        <v>-2</v>
      </c>
      <c r="Z45">
        <f t="shared" si="25"/>
        <v>-15</v>
      </c>
      <c r="AA45" t="str">
        <f>IF(AND(X45=X46,Y45=Y46,Z46&gt;Z45),W46,W45)</f>
        <v>Antonio M. Caro</v>
      </c>
      <c r="AB45">
        <f>VLOOKUP(AA45,W44:Z53,2,FALSE)</f>
        <v>1</v>
      </c>
      <c r="AC45">
        <f>VLOOKUP(AA45,W44:Z53,3,FALSE)</f>
        <v>-2</v>
      </c>
      <c r="AD45">
        <f>VLOOKUP(AA45,W44:Z53,4,FALSE)</f>
        <v>-15</v>
      </c>
      <c r="AE45" t="str">
        <f>IF(AND(AB45=AB47,AC45=AC47,AD47&gt;AD45),AA47,AA45)</f>
        <v>Antonio M. Caro</v>
      </c>
      <c r="AF45">
        <f>VLOOKUP(AE45,AA44:AD53,2,FALSE)</f>
        <v>1</v>
      </c>
      <c r="AG45">
        <f>VLOOKUP(AE45,AA44:AD53,3,FALSE)</f>
        <v>-2</v>
      </c>
      <c r="AH45">
        <f>VLOOKUP(AE45,AA44:AD53,4,FALSE)</f>
        <v>-15</v>
      </c>
      <c r="AI45" t="str">
        <f>AE45</f>
        <v>Antonio M. Caro</v>
      </c>
      <c r="AJ45">
        <f>VLOOKUP(AI45,AE44:AH53,2,FALSE)</f>
        <v>1</v>
      </c>
      <c r="AK45">
        <f>VLOOKUP(AI45,AE44:AH53,3,FALSE)</f>
        <v>-2</v>
      </c>
      <c r="AL45">
        <f>VLOOKUP(AI45,AE44:AH53,4,FALSE)</f>
        <v>-15</v>
      </c>
    </row>
    <row r="46" spans="6:38" x14ac:dyDescent="0.2">
      <c r="F46" t="str">
        <f t="shared" si="14"/>
        <v>Luis C. Torres</v>
      </c>
      <c r="J46">
        <f t="shared" si="27"/>
        <v>0</v>
      </c>
      <c r="K46">
        <f t="shared" si="27"/>
        <v>-5</v>
      </c>
      <c r="L46">
        <f t="shared" si="15"/>
        <v>-10.01</v>
      </c>
      <c r="M46">
        <f t="shared" si="16"/>
        <v>-5</v>
      </c>
      <c r="O46" t="str">
        <f>F46</f>
        <v>Luis C. Torres</v>
      </c>
      <c r="P46">
        <f t="shared" si="17"/>
        <v>0</v>
      </c>
      <c r="Q46">
        <f t="shared" si="18"/>
        <v>-5</v>
      </c>
      <c r="R46">
        <f t="shared" si="19"/>
        <v>-10.01</v>
      </c>
      <c r="S46" t="str">
        <f>IF(AND(P44=P46,Q44=Q46,R46&gt;R44),O44,O46)</f>
        <v>Luis C. Torres</v>
      </c>
      <c r="T46">
        <f t="shared" si="20"/>
        <v>0</v>
      </c>
      <c r="U46">
        <f t="shared" si="21"/>
        <v>-5</v>
      </c>
      <c r="V46">
        <f t="shared" si="22"/>
        <v>-10.01</v>
      </c>
      <c r="W46" t="str">
        <f>S46</f>
        <v>Luis C. Torres</v>
      </c>
      <c r="X46">
        <f t="shared" si="23"/>
        <v>0</v>
      </c>
      <c r="Y46">
        <f t="shared" si="24"/>
        <v>-5</v>
      </c>
      <c r="Z46">
        <f t="shared" si="25"/>
        <v>-10.01</v>
      </c>
      <c r="AA46" t="str">
        <f>IF(AND(X45=X46,Y45=Y46,Z46&gt;Z45),W45,W46)</f>
        <v>Luis C. Torres</v>
      </c>
      <c r="AB46">
        <f>VLOOKUP(AA46,W44:Z53,2,FALSE)</f>
        <v>0</v>
      </c>
      <c r="AC46">
        <f>VLOOKUP(AA46,W44:Z53,3,FALSE)</f>
        <v>-5</v>
      </c>
      <c r="AD46">
        <f>VLOOKUP(AA46,W44:Z53,4,FALSE)</f>
        <v>-10.01</v>
      </c>
      <c r="AE46" t="str">
        <f>AA46</f>
        <v>Luis C. Torres</v>
      </c>
      <c r="AF46">
        <f>VLOOKUP(AE46,AA44:AD53,2,FALSE)</f>
        <v>0</v>
      </c>
      <c r="AG46">
        <f>VLOOKUP(AE46,AA44:AD53,3,FALSE)</f>
        <v>-5</v>
      </c>
      <c r="AH46">
        <f>VLOOKUP(AE46,AA44:AD53,4,FALSE)</f>
        <v>-10.01</v>
      </c>
      <c r="AI46" t="str">
        <f>IF(AND(AF46=AF47,AG46=AG47,AH47&gt;AH46),AE47,AE46)</f>
        <v>Luis C. Torres</v>
      </c>
      <c r="AJ46">
        <f>VLOOKUP(AI46,AE44:AH53,2,FALSE)</f>
        <v>0</v>
      </c>
      <c r="AK46">
        <f>VLOOKUP(AI46,AE44:AH53,3,FALSE)</f>
        <v>-5</v>
      </c>
      <c r="AL46">
        <f>VLOOKUP(AI46,AE44:AH53,4,FALSE)</f>
        <v>-10.01</v>
      </c>
    </row>
    <row r="47" spans="6:38" x14ac:dyDescent="0.2">
      <c r="F47" t="str">
        <f t="shared" si="14"/>
        <v>Jesús García</v>
      </c>
      <c r="J47">
        <f t="shared" si="27"/>
        <v>0</v>
      </c>
      <c r="K47">
        <f t="shared" si="27"/>
        <v>-6</v>
      </c>
      <c r="L47">
        <f t="shared" si="15"/>
        <v>-24</v>
      </c>
      <c r="M47">
        <f t="shared" si="16"/>
        <v>-6</v>
      </c>
      <c r="O47" t="str">
        <f>F47</f>
        <v>Jesús García</v>
      </c>
      <c r="P47">
        <f t="shared" si="17"/>
        <v>0</v>
      </c>
      <c r="Q47">
        <f t="shared" si="18"/>
        <v>-6</v>
      </c>
      <c r="R47">
        <f t="shared" si="19"/>
        <v>-24</v>
      </c>
      <c r="S47" t="str">
        <f>O47</f>
        <v>Jesús García</v>
      </c>
      <c r="T47">
        <f t="shared" si="20"/>
        <v>0</v>
      </c>
      <c r="U47">
        <f t="shared" si="21"/>
        <v>-6</v>
      </c>
      <c r="V47">
        <f t="shared" si="22"/>
        <v>-24</v>
      </c>
      <c r="W47" t="str">
        <f>IF(AND(T44=T47,U44=U47,V47&gt;V44),S44,S47)</f>
        <v>Jesús García</v>
      </c>
      <c r="X47">
        <f t="shared" si="23"/>
        <v>0</v>
      </c>
      <c r="Y47">
        <f t="shared" si="24"/>
        <v>-6</v>
      </c>
      <c r="Z47">
        <f t="shared" si="25"/>
        <v>-24</v>
      </c>
      <c r="AA47" t="str">
        <f>W47</f>
        <v>Jesús García</v>
      </c>
      <c r="AB47">
        <f>VLOOKUP(AA47,W44:Z53,2,FALSE)</f>
        <v>0</v>
      </c>
      <c r="AC47">
        <f>VLOOKUP(AA47,W44:Z53,3,FALSE)</f>
        <v>-6</v>
      </c>
      <c r="AD47">
        <f>VLOOKUP(AA47,W44:Z53,4,FALSE)</f>
        <v>-24</v>
      </c>
      <c r="AE47" t="str">
        <f>IF(AND(AB45=AB47,AC45=AC47,AD47&gt;AD45),AA45,AA47)</f>
        <v>Jesús García</v>
      </c>
      <c r="AF47">
        <f>VLOOKUP(AE47,AA44:AD53,2,FALSE)</f>
        <v>0</v>
      </c>
      <c r="AG47">
        <f>VLOOKUP(AE47,AA44:AD53,3,FALSE)</f>
        <v>-6</v>
      </c>
      <c r="AH47">
        <f>VLOOKUP(AE47,AA44:AD53,4,FALSE)</f>
        <v>-24</v>
      </c>
      <c r="AI47" t="str">
        <f>IF(AND(AF46=AF47,AG46=AG47,AH47&gt;AH46),AE46,AE47)</f>
        <v>Jesús García</v>
      </c>
      <c r="AJ47">
        <f>VLOOKUP(AI47,AE44:AH53,2,FALSE)</f>
        <v>0</v>
      </c>
      <c r="AK47">
        <f>VLOOKUP(AI47,AE44:AH53,3,FALSE)</f>
        <v>-6</v>
      </c>
      <c r="AL47">
        <f>VLOOKUP(AI47,AE44:AH53,4,FALSE)</f>
        <v>-24</v>
      </c>
    </row>
    <row r="51" spans="6:13" x14ac:dyDescent="0.2">
      <c r="F51" t="s">
        <v>21</v>
      </c>
      <c r="G51" t="s">
        <v>58</v>
      </c>
      <c r="H51" t="s">
        <v>59</v>
      </c>
      <c r="I51" t="s">
        <v>5</v>
      </c>
      <c r="J51" t="s">
        <v>62</v>
      </c>
      <c r="K51" t="s">
        <v>63</v>
      </c>
      <c r="L51" t="s">
        <v>66</v>
      </c>
      <c r="M51" t="s">
        <v>6</v>
      </c>
    </row>
    <row r="52" spans="6:13" x14ac:dyDescent="0.2">
      <c r="F52" t="str">
        <f t="shared" ref="F52:F59" si="28">AI40</f>
        <v>Javier Cabello</v>
      </c>
      <c r="G52">
        <f t="shared" ref="G52:G59" si="29">VLOOKUP(F52,$F$16:$M$25,2,FALSE)</f>
        <v>3</v>
      </c>
      <c r="H52">
        <f t="shared" ref="H52:H59" si="30">VLOOKUP(F52,$F$16:$M$25,3,FALSE)</f>
        <v>3</v>
      </c>
      <c r="I52">
        <f t="shared" ref="I52:I59" si="31">VLOOKUP(F52,$F$16:$M$25,4,FALSE)</f>
        <v>0</v>
      </c>
      <c r="J52">
        <f t="shared" ref="J52:J59" si="32">VLOOKUP(F52,$F$16:$M$25,5,FALSE)</f>
        <v>6</v>
      </c>
      <c r="K52">
        <f t="shared" ref="K52:K59" si="33">VLOOKUP(F52,$F$16:$M$25,6,FALSE)</f>
        <v>0</v>
      </c>
      <c r="L52">
        <f t="shared" ref="L52:L59" si="34">VLOOKUP(F52,$F$16:$M$25,7,FALSE)</f>
        <v>18</v>
      </c>
      <c r="M52">
        <f t="shared" ref="M52:M59" si="35">VLOOKUP(F52,$F$16:$M$25,8,FALSE)</f>
        <v>3</v>
      </c>
    </row>
    <row r="53" spans="6:13" x14ac:dyDescent="0.2">
      <c r="F53" t="str">
        <f t="shared" si="28"/>
        <v>Sergio Soriano</v>
      </c>
      <c r="G53">
        <f t="shared" si="29"/>
        <v>3</v>
      </c>
      <c r="H53">
        <f t="shared" si="30"/>
        <v>3</v>
      </c>
      <c r="I53">
        <f t="shared" si="31"/>
        <v>0</v>
      </c>
      <c r="J53">
        <f t="shared" si="32"/>
        <v>6</v>
      </c>
      <c r="K53">
        <f t="shared" si="33"/>
        <v>1</v>
      </c>
      <c r="L53">
        <f t="shared" si="34"/>
        <v>22.009999999999998</v>
      </c>
      <c r="M53">
        <f t="shared" si="35"/>
        <v>3</v>
      </c>
    </row>
    <row r="54" spans="6:13" x14ac:dyDescent="0.2">
      <c r="F54" t="str">
        <f t="shared" si="28"/>
        <v>José de Castro</v>
      </c>
      <c r="G54">
        <f t="shared" si="29"/>
        <v>3</v>
      </c>
      <c r="H54">
        <f t="shared" si="30"/>
        <v>2</v>
      </c>
      <c r="I54">
        <f t="shared" si="31"/>
        <v>1</v>
      </c>
      <c r="J54">
        <f t="shared" si="32"/>
        <v>5</v>
      </c>
      <c r="K54">
        <f t="shared" si="33"/>
        <v>2</v>
      </c>
      <c r="L54">
        <f t="shared" si="34"/>
        <v>16.990000000000002</v>
      </c>
      <c r="M54">
        <f t="shared" si="35"/>
        <v>2</v>
      </c>
    </row>
    <row r="55" spans="6:13" x14ac:dyDescent="0.2">
      <c r="F55" t="str">
        <f t="shared" si="28"/>
        <v>Isma Barrionuevo</v>
      </c>
      <c r="G55">
        <f t="shared" si="29"/>
        <v>3</v>
      </c>
      <c r="H55">
        <f t="shared" si="30"/>
        <v>2</v>
      </c>
      <c r="I55">
        <f t="shared" si="31"/>
        <v>1</v>
      </c>
      <c r="J55">
        <f t="shared" si="32"/>
        <v>4</v>
      </c>
      <c r="K55">
        <f t="shared" si="33"/>
        <v>3</v>
      </c>
      <c r="L55">
        <f t="shared" si="34"/>
        <v>4</v>
      </c>
      <c r="M55">
        <f t="shared" si="35"/>
        <v>2</v>
      </c>
    </row>
    <row r="56" spans="6:13" x14ac:dyDescent="0.2">
      <c r="F56" t="str">
        <f t="shared" si="28"/>
        <v>Fernando Sanz</v>
      </c>
      <c r="G56">
        <f t="shared" si="29"/>
        <v>3</v>
      </c>
      <c r="H56">
        <f t="shared" si="30"/>
        <v>1</v>
      </c>
      <c r="I56">
        <f t="shared" si="31"/>
        <v>2</v>
      </c>
      <c r="J56">
        <f t="shared" si="32"/>
        <v>3</v>
      </c>
      <c r="K56">
        <f t="shared" si="33"/>
        <v>5</v>
      </c>
      <c r="L56">
        <f t="shared" si="34"/>
        <v>-11.99</v>
      </c>
      <c r="M56">
        <f t="shared" si="35"/>
        <v>1</v>
      </c>
    </row>
    <row r="57" spans="6:13" x14ac:dyDescent="0.2">
      <c r="F57" t="str">
        <f t="shared" si="28"/>
        <v>Antonio M. Caro</v>
      </c>
      <c r="G57">
        <f t="shared" si="29"/>
        <v>3</v>
      </c>
      <c r="H57">
        <f t="shared" si="30"/>
        <v>1</v>
      </c>
      <c r="I57">
        <f t="shared" si="31"/>
        <v>2</v>
      </c>
      <c r="J57">
        <f t="shared" si="32"/>
        <v>2</v>
      </c>
      <c r="K57">
        <f t="shared" si="33"/>
        <v>4</v>
      </c>
      <c r="L57">
        <f t="shared" si="34"/>
        <v>-15</v>
      </c>
      <c r="M57">
        <f t="shared" si="35"/>
        <v>1</v>
      </c>
    </row>
    <row r="58" spans="6:13" x14ac:dyDescent="0.2">
      <c r="F58" t="str">
        <f t="shared" si="28"/>
        <v>Luis C. Torres</v>
      </c>
      <c r="G58">
        <f t="shared" si="29"/>
        <v>3</v>
      </c>
      <c r="H58">
        <f t="shared" si="30"/>
        <v>0</v>
      </c>
      <c r="I58">
        <f t="shared" si="31"/>
        <v>3</v>
      </c>
      <c r="J58">
        <f t="shared" si="32"/>
        <v>1</v>
      </c>
      <c r="K58">
        <f t="shared" si="33"/>
        <v>6</v>
      </c>
      <c r="L58">
        <f t="shared" si="34"/>
        <v>-10.01</v>
      </c>
      <c r="M58">
        <f t="shared" si="35"/>
        <v>0</v>
      </c>
    </row>
    <row r="59" spans="6:13" x14ac:dyDescent="0.2">
      <c r="F59" t="str">
        <f t="shared" si="28"/>
        <v>Jesús García</v>
      </c>
      <c r="G59">
        <f t="shared" si="29"/>
        <v>3</v>
      </c>
      <c r="H59">
        <f t="shared" si="30"/>
        <v>0</v>
      </c>
      <c r="I59">
        <f t="shared" si="31"/>
        <v>3</v>
      </c>
      <c r="J59">
        <f t="shared" si="32"/>
        <v>0</v>
      </c>
      <c r="K59">
        <f t="shared" si="33"/>
        <v>6</v>
      </c>
      <c r="L59">
        <f t="shared" si="34"/>
        <v>-24</v>
      </c>
      <c r="M59">
        <f t="shared" si="35"/>
        <v>0</v>
      </c>
    </row>
  </sheetData>
  <sheetProtection sheet="1" objects="1" scenarios="1"/>
  <mergeCells count="1">
    <mergeCell ref="A2:E2"/>
  </mergeCells>
  <phoneticPr fontId="85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9"/>
  <sheetViews>
    <sheetView showGridLines="0" showRowColHeaders="0" workbookViewId="0">
      <selection sqref="A1:AE2"/>
    </sheetView>
  </sheetViews>
  <sheetFormatPr baseColWidth="10" defaultColWidth="0" defaultRowHeight="12.75" zeroHeight="1" x14ac:dyDescent="0.2"/>
  <cols>
    <col min="1" max="16" width="11.42578125" style="179" customWidth="1"/>
    <col min="17" max="16384" width="0" style="179" hidden="1"/>
  </cols>
  <sheetData>
    <row r="1" spans="1:16" ht="32.25" x14ac:dyDescent="0.3">
      <c r="A1" s="315" t="s">
        <v>111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</row>
    <row r="2" spans="1:16" x14ac:dyDescent="0.2"/>
    <row r="3" spans="1:16" x14ac:dyDescent="0.2">
      <c r="A3" s="314"/>
      <c r="B3" s="314"/>
      <c r="C3" s="314"/>
      <c r="D3" s="314"/>
      <c r="E3" s="316"/>
      <c r="F3" s="316"/>
      <c r="G3" s="316"/>
      <c r="H3" s="316"/>
      <c r="I3" s="316"/>
      <c r="J3" s="314"/>
      <c r="K3" s="314"/>
      <c r="L3" s="314"/>
    </row>
    <row r="4" spans="1:16" x14ac:dyDescent="0.2"/>
    <row r="5" spans="1:16" x14ac:dyDescent="0.2"/>
    <row r="6" spans="1:16" x14ac:dyDescent="0.2"/>
    <row r="7" spans="1:16" x14ac:dyDescent="0.2"/>
    <row r="8" spans="1:16" x14ac:dyDescent="0.2"/>
    <row r="9" spans="1:16" x14ac:dyDescent="0.2"/>
    <row r="10" spans="1:16" x14ac:dyDescent="0.2"/>
    <row r="11" spans="1:16" x14ac:dyDescent="0.2"/>
    <row r="12" spans="1:16" x14ac:dyDescent="0.2">
      <c r="A12" s="314"/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</row>
    <row r="13" spans="1:16" x14ac:dyDescent="0.2"/>
    <row r="14" spans="1:16" x14ac:dyDescent="0.2"/>
    <row r="15" spans="1:16" x14ac:dyDescent="0.2"/>
    <row r="16" spans="1:16" x14ac:dyDescent="0.2"/>
    <row r="17" spans="1:12" x14ac:dyDescent="0.2">
      <c r="D17" s="314"/>
      <c r="E17" s="314"/>
      <c r="F17" s="314"/>
    </row>
    <row r="18" spans="1:12" x14ac:dyDescent="0.2"/>
    <row r="19" spans="1:12" x14ac:dyDescent="0.2"/>
    <row r="20" spans="1:12" x14ac:dyDescent="0.2"/>
    <row r="21" spans="1:12" x14ac:dyDescent="0.2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</row>
    <row r="22" spans="1:12" x14ac:dyDescent="0.2"/>
    <row r="23" spans="1:12" x14ac:dyDescent="0.2"/>
    <row r="24" spans="1:12" x14ac:dyDescent="0.2"/>
    <row r="25" spans="1:12" x14ac:dyDescent="0.2"/>
    <row r="26" spans="1:12" x14ac:dyDescent="0.2"/>
    <row r="27" spans="1:12" x14ac:dyDescent="0.2"/>
    <row r="28" spans="1:12" x14ac:dyDescent="0.2"/>
    <row r="29" spans="1:12" x14ac:dyDescent="0.2"/>
    <row r="30" spans="1:12" x14ac:dyDescent="0.2">
      <c r="F30" s="313" t="s">
        <v>31</v>
      </c>
      <c r="G30" s="313"/>
    </row>
    <row r="31" spans="1:12" x14ac:dyDescent="0.2"/>
    <row r="32" spans="1:1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</sheetData>
  <sheetProtection sheet="1" objects="1" scenarios="1"/>
  <mergeCells count="14">
    <mergeCell ref="A1:P1"/>
    <mergeCell ref="A3:C3"/>
    <mergeCell ref="A12:C12"/>
    <mergeCell ref="A21:C21"/>
    <mergeCell ref="D12:F12"/>
    <mergeCell ref="D21:F21"/>
    <mergeCell ref="D17:F17"/>
    <mergeCell ref="D3:I3"/>
    <mergeCell ref="F30:G30"/>
    <mergeCell ref="J3:L3"/>
    <mergeCell ref="G12:I12"/>
    <mergeCell ref="G21:I21"/>
    <mergeCell ref="J12:L12"/>
    <mergeCell ref="J21:L21"/>
  </mergeCells>
  <phoneticPr fontId="5" type="noConversion"/>
  <hyperlinks>
    <hyperlink ref="F30:G30" location="Menu!A1" display="Menu Principal"/>
  </hyperlinks>
  <pageMargins left="0.75" right="0.75" top="1" bottom="1" header="0" footer="0"/>
  <pageSetup paperSize="9" scale="7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Z39"/>
  <sheetViews>
    <sheetView showGridLines="0" showRowColHeaders="0" zoomScaleNormal="100" workbookViewId="0">
      <selection sqref="A1:S2"/>
    </sheetView>
  </sheetViews>
  <sheetFormatPr baseColWidth="10" defaultColWidth="0" defaultRowHeight="12.75" zeroHeight="1" x14ac:dyDescent="0.2"/>
  <cols>
    <col min="1" max="1" width="2.7109375" style="4" customWidth="1"/>
    <col min="2" max="2" width="14.28515625" style="4" customWidth="1"/>
    <col min="3" max="5" width="3.42578125" style="4" customWidth="1"/>
    <col min="6" max="7" width="14.28515625" style="4" customWidth="1"/>
    <col min="8" max="12" width="3.7109375" style="4" customWidth="1"/>
    <col min="13" max="14" width="3.85546875" style="4" customWidth="1"/>
    <col min="15" max="15" width="4.7109375" style="4" customWidth="1"/>
    <col min="16" max="16" width="5.7109375" style="4" customWidth="1"/>
    <col min="17" max="18" width="7.7109375" style="4" customWidth="1"/>
    <col min="19" max="19" width="5.7109375" style="4" customWidth="1"/>
    <col min="20" max="20" width="7.7109375" style="4" customWidth="1"/>
    <col min="21" max="23" width="11.42578125" style="4" customWidth="1"/>
    <col min="24" max="25" width="11.42578125" style="4" hidden="1" customWidth="1"/>
    <col min="26" max="26" width="11.42578125" style="4" customWidth="1"/>
    <col min="27" max="16384" width="0" style="4" hidden="1"/>
  </cols>
  <sheetData>
    <row r="1" spans="1:26" s="6" customFormat="1" ht="35.1" customHeight="1" x14ac:dyDescent="0.2">
      <c r="A1" s="333" t="s">
        <v>115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18"/>
      <c r="U1" s="167"/>
      <c r="V1" s="5"/>
      <c r="W1" s="5"/>
      <c r="X1" s="5"/>
      <c r="Y1" s="5"/>
      <c r="Z1" s="264"/>
    </row>
    <row r="2" spans="1:26" s="6" customFormat="1" ht="35.1" customHeight="1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8"/>
      <c r="U2" s="167"/>
      <c r="V2" s="5"/>
      <c r="W2" s="5"/>
      <c r="X2" s="5"/>
      <c r="Y2" s="5"/>
      <c r="Z2" s="264"/>
    </row>
    <row r="3" spans="1:26" ht="21" customHeight="1" x14ac:dyDescent="0.2">
      <c r="A3" s="54"/>
      <c r="B3" s="54"/>
      <c r="C3" s="54"/>
      <c r="D3" s="54"/>
      <c r="E3" s="54"/>
      <c r="F3" s="54"/>
      <c r="G3" s="55"/>
      <c r="H3" s="54"/>
      <c r="I3" s="54"/>
      <c r="J3" s="54"/>
      <c r="K3" s="54"/>
      <c r="L3" s="56"/>
      <c r="M3" s="57"/>
      <c r="N3" s="54"/>
      <c r="O3" s="54"/>
      <c r="P3" s="54"/>
      <c r="Q3" s="54"/>
      <c r="R3" s="55"/>
      <c r="S3" s="54"/>
      <c r="X3" s="28" t="s">
        <v>40</v>
      </c>
      <c r="Y3" s="29" t="s">
        <v>41</v>
      </c>
    </row>
    <row r="4" spans="1:26" ht="12.75" customHeight="1" x14ac:dyDescent="0.2">
      <c r="A4" s="54"/>
      <c r="B4" s="319" t="s">
        <v>3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54"/>
      <c r="O4" s="54"/>
      <c r="P4" s="334" t="s">
        <v>100</v>
      </c>
      <c r="Q4" s="335"/>
      <c r="R4" s="335"/>
      <c r="S4" s="335"/>
      <c r="X4" s="30" t="s">
        <v>42</v>
      </c>
      <c r="Y4" s="31">
        <v>-6</v>
      </c>
    </row>
    <row r="5" spans="1:26" ht="12.75" customHeight="1" x14ac:dyDescent="0.2">
      <c r="A5" s="54"/>
      <c r="B5" s="104" t="s">
        <v>78</v>
      </c>
      <c r="C5" s="59" t="s">
        <v>55</v>
      </c>
      <c r="D5" s="59" t="s">
        <v>57</v>
      </c>
      <c r="E5" s="59" t="s">
        <v>56</v>
      </c>
      <c r="F5" s="104" t="s">
        <v>78</v>
      </c>
      <c r="G5" s="59" t="s">
        <v>79</v>
      </c>
      <c r="H5" s="325" t="s">
        <v>13</v>
      </c>
      <c r="I5" s="325"/>
      <c r="J5" s="326" t="s">
        <v>32</v>
      </c>
      <c r="K5" s="326"/>
      <c r="L5" s="326" t="s">
        <v>83</v>
      </c>
      <c r="M5" s="326"/>
      <c r="N5" s="327"/>
      <c r="O5" s="327"/>
      <c r="P5" s="335"/>
      <c r="Q5" s="335"/>
      <c r="R5" s="335"/>
      <c r="S5" s="335"/>
      <c r="X5" s="32" t="s">
        <v>43</v>
      </c>
      <c r="Y5" s="33">
        <v>-5</v>
      </c>
    </row>
    <row r="6" spans="1:26" ht="14.25" customHeight="1" x14ac:dyDescent="0.2">
      <c r="A6" s="60" t="str">
        <f t="shared" ref="A6:A11" ca="1" si="0">IF(OR(L6="finalizado",L6="en juego",L6="hoy!"),"Ø","")</f>
        <v/>
      </c>
      <c r="B6" s="173" t="str">
        <f>IF(Q7&lt;&gt;"",Q7,"")</f>
        <v>José de Castro</v>
      </c>
      <c r="C6" s="62" t="s">
        <v>50</v>
      </c>
      <c r="D6" s="62" t="s">
        <v>50</v>
      </c>
      <c r="E6" s="62" t="s">
        <v>4</v>
      </c>
      <c r="F6" s="174" t="str">
        <f>IF(Q13&lt;&gt;"",Q13,"")</f>
        <v>Jesús García</v>
      </c>
      <c r="G6" s="64" t="s">
        <v>164</v>
      </c>
      <c r="H6" s="318">
        <v>44494</v>
      </c>
      <c r="I6" s="318"/>
      <c r="J6" s="317">
        <v>0.75</v>
      </c>
      <c r="K6" s="317"/>
      <c r="L6" s="320" t="str">
        <f t="shared" ref="L6" ca="1" si="1">IF(OR(H6="",J6="",H6&lt;$Q$24),"",IF(H6=$Q$24,IF(AND(J6&lt;=$R$26,$R$26&lt;=(J6+0.08333333333)),"en juego",IF($R$26&lt;J6,"hoy!","finalizado")),IF($Q$24&gt;H6,"finalizado","")))</f>
        <v/>
      </c>
      <c r="M6" s="320"/>
      <c r="N6" s="336" t="s">
        <v>168</v>
      </c>
      <c r="O6" s="337"/>
      <c r="P6" s="54"/>
      <c r="Q6" s="54"/>
      <c r="R6" s="55"/>
      <c r="S6" s="58"/>
      <c r="X6" s="34" t="s">
        <v>44</v>
      </c>
      <c r="Y6" s="33">
        <v>-4</v>
      </c>
    </row>
    <row r="7" spans="1:26" ht="14.25" customHeight="1" x14ac:dyDescent="0.2">
      <c r="A7" s="60" t="str">
        <f t="shared" ca="1" si="0"/>
        <v/>
      </c>
      <c r="B7" s="173" t="str">
        <f>IF(Q11&lt;&gt;"",Q11,"")</f>
        <v>Antonio M. Caro</v>
      </c>
      <c r="C7" s="62" t="s">
        <v>42</v>
      </c>
      <c r="D7" s="62" t="s">
        <v>43</v>
      </c>
      <c r="E7" s="62" t="s">
        <v>4</v>
      </c>
      <c r="F7" s="174" t="str">
        <f>IF(Q9&lt;&gt;"",Q9,"")</f>
        <v>Sergio Soriano</v>
      </c>
      <c r="G7" s="64" t="s">
        <v>165</v>
      </c>
      <c r="H7" s="318">
        <v>44513</v>
      </c>
      <c r="I7" s="318"/>
      <c r="J7" s="317">
        <v>0.5</v>
      </c>
      <c r="K7" s="317"/>
      <c r="L7" s="320" t="str">
        <f t="shared" ref="L7:L11" ca="1" si="2">IF(OR(H7="",J7="",H7&lt;$Q$24),"",IF(H7=$Q$24,IF(AND(J7&lt;=$R$26,$R$26&lt;=(J7+0.08333333333)),"en juego",IF($R$26&lt;J7,"hoy!","finalizado")),IF($Q$24&gt;H7,"finalizado","")))</f>
        <v/>
      </c>
      <c r="M7" s="320"/>
      <c r="N7" s="321" t="s">
        <v>171</v>
      </c>
      <c r="O7" s="322"/>
      <c r="P7" s="65"/>
      <c r="Q7" s="328" t="str">
        <f>Menu!I7</f>
        <v>José de Castro</v>
      </c>
      <c r="R7" s="328"/>
      <c r="S7" s="65"/>
      <c r="X7" s="34" t="s">
        <v>45</v>
      </c>
      <c r="Y7" s="33">
        <v>-3</v>
      </c>
    </row>
    <row r="8" spans="1:26" ht="14.25" customHeight="1" x14ac:dyDescent="0.2">
      <c r="A8" s="60" t="str">
        <f t="shared" ca="1" si="0"/>
        <v/>
      </c>
      <c r="B8" s="173" t="str">
        <f>IF(Q7&lt;&gt;"",Q7,"")</f>
        <v>José de Castro</v>
      </c>
      <c r="C8" s="62" t="s">
        <v>49</v>
      </c>
      <c r="D8" s="62" t="s">
        <v>51</v>
      </c>
      <c r="E8" s="62" t="s">
        <v>4</v>
      </c>
      <c r="F8" s="174" t="str">
        <f>IF(Q11&lt;&gt;"",Q11,"")</f>
        <v>Antonio M. Caro</v>
      </c>
      <c r="G8" s="64" t="s">
        <v>165</v>
      </c>
      <c r="H8" s="318">
        <v>44506</v>
      </c>
      <c r="I8" s="318"/>
      <c r="J8" s="317">
        <v>0.375</v>
      </c>
      <c r="K8" s="317"/>
      <c r="L8" s="320" t="str">
        <f t="shared" ca="1" si="2"/>
        <v/>
      </c>
      <c r="M8" s="320"/>
      <c r="N8" s="321" t="s">
        <v>171</v>
      </c>
      <c r="O8" s="322"/>
      <c r="P8" s="54"/>
      <c r="Q8" s="66"/>
      <c r="R8" s="67"/>
      <c r="S8" s="58"/>
      <c r="X8" s="35" t="s">
        <v>46</v>
      </c>
      <c r="Y8" s="33">
        <v>-2</v>
      </c>
    </row>
    <row r="9" spans="1:26" ht="14.25" customHeight="1" x14ac:dyDescent="0.2">
      <c r="A9" s="60" t="str">
        <f t="shared" ca="1" si="0"/>
        <v/>
      </c>
      <c r="B9" s="173" t="str">
        <f>IF(Q13&lt;&gt;"",Q13,"")</f>
        <v>Jesús García</v>
      </c>
      <c r="C9" s="62" t="s">
        <v>44</v>
      </c>
      <c r="D9" s="62" t="s">
        <v>44</v>
      </c>
      <c r="E9" s="62" t="s">
        <v>4</v>
      </c>
      <c r="F9" s="174" t="str">
        <f>IF(Q9&lt;&gt;"",Q9,"")</f>
        <v>Sergio Soriano</v>
      </c>
      <c r="G9" s="64" t="s">
        <v>165</v>
      </c>
      <c r="H9" s="318">
        <v>44498</v>
      </c>
      <c r="I9" s="318"/>
      <c r="J9" s="317">
        <v>0.8125</v>
      </c>
      <c r="K9" s="317"/>
      <c r="L9" s="320" t="str">
        <f t="shared" ca="1" si="2"/>
        <v/>
      </c>
      <c r="M9" s="320"/>
      <c r="N9" s="321" t="s">
        <v>158</v>
      </c>
      <c r="O9" s="322"/>
      <c r="P9" s="65"/>
      <c r="Q9" s="328" t="str">
        <f>Menu!I9</f>
        <v>Sergio Soriano</v>
      </c>
      <c r="R9" s="328"/>
      <c r="S9" s="65"/>
      <c r="X9" s="34" t="s">
        <v>47</v>
      </c>
      <c r="Y9" s="33">
        <v>-2</v>
      </c>
    </row>
    <row r="10" spans="1:26" ht="14.25" customHeight="1" x14ac:dyDescent="0.2">
      <c r="A10" s="60" t="str">
        <f t="shared" ca="1" si="0"/>
        <v/>
      </c>
      <c r="B10" s="173" t="str">
        <f>IF(Q13&lt;&gt;"",Q13,"")</f>
        <v>Jesús García</v>
      </c>
      <c r="C10" s="62" t="s">
        <v>44</v>
      </c>
      <c r="D10" s="62" t="s">
        <v>46</v>
      </c>
      <c r="E10" s="62" t="s">
        <v>4</v>
      </c>
      <c r="F10" s="174" t="str">
        <f>IF(Q11&lt;&gt;"",Q11,"")</f>
        <v>Antonio M. Caro</v>
      </c>
      <c r="G10" s="64" t="s">
        <v>165</v>
      </c>
      <c r="H10" s="318">
        <v>44496</v>
      </c>
      <c r="I10" s="318"/>
      <c r="J10" s="317">
        <v>0.375</v>
      </c>
      <c r="K10" s="317"/>
      <c r="L10" s="320" t="str">
        <f t="shared" ca="1" si="2"/>
        <v/>
      </c>
      <c r="M10" s="320"/>
      <c r="N10" s="321" t="s">
        <v>158</v>
      </c>
      <c r="O10" s="322"/>
      <c r="P10" s="54"/>
      <c r="Q10" s="66"/>
      <c r="R10" s="67"/>
      <c r="S10" s="58"/>
      <c r="X10" s="34" t="s">
        <v>48</v>
      </c>
      <c r="Y10" s="33">
        <v>-1.01</v>
      </c>
    </row>
    <row r="11" spans="1:26" ht="14.25" customHeight="1" x14ac:dyDescent="0.2">
      <c r="A11" s="60" t="str">
        <f t="shared" ca="1" si="0"/>
        <v/>
      </c>
      <c r="B11" s="173" t="str">
        <f>IF(Q9&lt;&gt;"",Q9,"")</f>
        <v>Sergio Soriano</v>
      </c>
      <c r="C11" s="62" t="s">
        <v>50</v>
      </c>
      <c r="D11" s="62" t="s">
        <v>45</v>
      </c>
      <c r="E11" s="62" t="s">
        <v>54</v>
      </c>
      <c r="F11" s="174" t="str">
        <f>IF(Q7&lt;&gt;"",Q7,"")</f>
        <v>José de Castro</v>
      </c>
      <c r="G11" s="266" t="s">
        <v>165</v>
      </c>
      <c r="H11" s="318">
        <v>44513</v>
      </c>
      <c r="I11" s="318"/>
      <c r="J11" s="317">
        <v>0.375</v>
      </c>
      <c r="K11" s="317"/>
      <c r="L11" s="320" t="str">
        <f t="shared" ca="1" si="2"/>
        <v/>
      </c>
      <c r="M11" s="320"/>
      <c r="N11" s="321" t="s">
        <v>168</v>
      </c>
      <c r="O11" s="322"/>
      <c r="P11" s="65"/>
      <c r="Q11" s="328" t="str">
        <f>Menu!I11</f>
        <v>Antonio M. Caro</v>
      </c>
      <c r="R11" s="328"/>
      <c r="S11" s="65"/>
      <c r="X11" s="35" t="s">
        <v>49</v>
      </c>
      <c r="Y11" s="33">
        <v>6</v>
      </c>
    </row>
    <row r="12" spans="1:26" ht="14.25" customHeight="1" x14ac:dyDescent="0.2">
      <c r="A12" s="58"/>
      <c r="B12" s="68"/>
      <c r="C12" s="69"/>
      <c r="D12" s="70"/>
      <c r="E12" s="69"/>
      <c r="F12" s="58"/>
      <c r="G12" s="71"/>
      <c r="H12" s="70"/>
      <c r="I12" s="72"/>
      <c r="J12" s="56"/>
      <c r="K12" s="73"/>
      <c r="L12" s="74"/>
      <c r="M12" s="74"/>
      <c r="N12" s="54"/>
      <c r="O12" s="58"/>
      <c r="P12" s="54"/>
      <c r="Q12" s="66"/>
      <c r="R12" s="67"/>
      <c r="S12" s="58"/>
      <c r="X12" s="35" t="s">
        <v>50</v>
      </c>
      <c r="Y12" s="33">
        <v>5</v>
      </c>
    </row>
    <row r="13" spans="1:26" ht="14.25" customHeight="1" x14ac:dyDescent="0.2">
      <c r="A13" s="54"/>
      <c r="B13" s="68"/>
      <c r="C13" s="69"/>
      <c r="D13" s="70"/>
      <c r="E13" s="69"/>
      <c r="F13" s="58"/>
      <c r="G13" s="71"/>
      <c r="H13" s="70"/>
      <c r="I13" s="70"/>
      <c r="J13" s="56"/>
      <c r="K13" s="75"/>
      <c r="L13" s="74"/>
      <c r="M13" s="74"/>
      <c r="N13" s="54"/>
      <c r="O13" s="58"/>
      <c r="P13" s="65"/>
      <c r="Q13" s="328" t="str">
        <f>Menu!I13</f>
        <v>Jesús García</v>
      </c>
      <c r="R13" s="328"/>
      <c r="S13" s="65"/>
      <c r="X13" s="35" t="s">
        <v>51</v>
      </c>
      <c r="Y13" s="33">
        <v>4</v>
      </c>
    </row>
    <row r="14" spans="1:26" ht="13.5" customHeight="1" x14ac:dyDescent="0.2">
      <c r="A14" s="54"/>
      <c r="B14" s="68"/>
      <c r="C14" s="69"/>
      <c r="D14" s="70"/>
      <c r="E14" s="69"/>
      <c r="F14" s="58"/>
      <c r="G14" s="71"/>
      <c r="H14" s="70"/>
      <c r="I14" s="70"/>
      <c r="J14" s="76"/>
      <c r="K14" s="56"/>
      <c r="L14" s="74"/>
      <c r="M14" s="74"/>
      <c r="N14" s="54"/>
      <c r="O14" s="77"/>
      <c r="P14" s="54"/>
      <c r="Q14" s="78"/>
      <c r="R14" s="79"/>
      <c r="S14" s="58"/>
      <c r="X14" s="35" t="s">
        <v>52</v>
      </c>
      <c r="Y14" s="33">
        <v>3</v>
      </c>
    </row>
    <row r="15" spans="1:26" x14ac:dyDescent="0.2">
      <c r="A15" s="54"/>
      <c r="B15" s="54"/>
      <c r="C15" s="54"/>
      <c r="D15" s="54"/>
      <c r="E15" s="54"/>
      <c r="F15" s="54"/>
      <c r="G15" s="319" t="s">
        <v>14</v>
      </c>
      <c r="H15" s="319"/>
      <c r="I15" s="319"/>
      <c r="J15" s="319"/>
      <c r="K15" s="319"/>
      <c r="L15" s="319"/>
      <c r="M15" s="319"/>
      <c r="N15" s="319"/>
      <c r="O15" s="319"/>
      <c r="P15" s="54"/>
      <c r="Q15" s="54"/>
      <c r="R15" s="55"/>
      <c r="S15" s="54"/>
      <c r="X15" s="35" t="s">
        <v>39</v>
      </c>
      <c r="Y15" s="33">
        <v>2</v>
      </c>
    </row>
    <row r="16" spans="1:26" x14ac:dyDescent="0.2">
      <c r="A16" s="54"/>
      <c r="B16" s="54"/>
      <c r="C16" s="54"/>
      <c r="D16" s="54"/>
      <c r="E16" s="54"/>
      <c r="F16" s="54"/>
      <c r="G16" s="80"/>
      <c r="H16" s="81" t="s">
        <v>15</v>
      </c>
      <c r="I16" s="81" t="s">
        <v>16</v>
      </c>
      <c r="J16" s="81" t="s">
        <v>17</v>
      </c>
      <c r="K16" s="81" t="s">
        <v>60</v>
      </c>
      <c r="L16" s="81" t="s">
        <v>61</v>
      </c>
      <c r="M16" s="81" t="s">
        <v>65</v>
      </c>
      <c r="N16" s="81" t="s">
        <v>64</v>
      </c>
      <c r="O16" s="81" t="s">
        <v>18</v>
      </c>
      <c r="P16" s="54"/>
      <c r="Q16" s="66"/>
      <c r="R16" s="55"/>
      <c r="S16" s="54"/>
      <c r="X16" s="35" t="s">
        <v>53</v>
      </c>
      <c r="Y16" s="33">
        <v>2</v>
      </c>
    </row>
    <row r="17" spans="1:25" x14ac:dyDescent="0.2">
      <c r="A17" s="54"/>
      <c r="B17" s="54"/>
      <c r="C17" s="54"/>
      <c r="D17" s="54"/>
      <c r="E17" s="54"/>
      <c r="F17" s="82" t="s">
        <v>38</v>
      </c>
      <c r="G17" s="83" t="str">
        <f>calculoA!F52</f>
        <v>Sergio Soriano</v>
      </c>
      <c r="H17" s="84">
        <f>calculoA!G52</f>
        <v>3</v>
      </c>
      <c r="I17" s="84">
        <f>calculoA!H52</f>
        <v>3</v>
      </c>
      <c r="J17" s="84">
        <f>calculoA!I52</f>
        <v>0</v>
      </c>
      <c r="K17" s="84">
        <f>calculoA!J52</f>
        <v>6</v>
      </c>
      <c r="L17" s="84">
        <f>calculoA!K52</f>
        <v>1</v>
      </c>
      <c r="M17" s="84">
        <f>K17-L17</f>
        <v>5</v>
      </c>
      <c r="N17" s="84">
        <f>calculoA!L52</f>
        <v>22.009999999999998</v>
      </c>
      <c r="O17" s="84">
        <f>calculoA!M52</f>
        <v>3</v>
      </c>
      <c r="P17" s="85"/>
      <c r="Q17" s="66"/>
      <c r="R17" s="67"/>
      <c r="S17" s="66"/>
      <c r="X17" s="34" t="s">
        <v>54</v>
      </c>
      <c r="Y17" s="33">
        <v>1.01</v>
      </c>
    </row>
    <row r="18" spans="1:25" x14ac:dyDescent="0.2">
      <c r="A18" s="54"/>
      <c r="B18" s="54"/>
      <c r="C18" s="54"/>
      <c r="D18" s="54"/>
      <c r="E18" s="54"/>
      <c r="F18" s="82" t="s">
        <v>38</v>
      </c>
      <c r="G18" s="83" t="str">
        <f>calculoA!F53</f>
        <v>José de Castro</v>
      </c>
      <c r="H18" s="84">
        <f>calculoA!G53</f>
        <v>3</v>
      </c>
      <c r="I18" s="84">
        <f>calculoA!H53</f>
        <v>2</v>
      </c>
      <c r="J18" s="84">
        <f>calculoA!I53</f>
        <v>1</v>
      </c>
      <c r="K18" s="84">
        <f>calculoA!J53</f>
        <v>5</v>
      </c>
      <c r="L18" s="84">
        <f>calculoA!K53</f>
        <v>2</v>
      </c>
      <c r="M18" s="84">
        <f>K18-L18</f>
        <v>3</v>
      </c>
      <c r="N18" s="84">
        <f>calculoA!L53</f>
        <v>16.990000000000002</v>
      </c>
      <c r="O18" s="84">
        <f>calculoA!M53</f>
        <v>2</v>
      </c>
      <c r="P18" s="85"/>
      <c r="Q18" s="66"/>
      <c r="R18" s="67"/>
      <c r="S18" s="66"/>
      <c r="X18" s="36" t="s">
        <v>4</v>
      </c>
      <c r="Y18" s="37">
        <v>0</v>
      </c>
    </row>
    <row r="19" spans="1:25" x14ac:dyDescent="0.2">
      <c r="A19" s="54"/>
      <c r="B19" s="54"/>
      <c r="C19" s="54"/>
      <c r="D19" s="54"/>
      <c r="E19" s="54"/>
      <c r="F19" s="82"/>
      <c r="G19" s="86" t="str">
        <f>calculoA!F54</f>
        <v>Antonio M. Caro</v>
      </c>
      <c r="H19" s="84">
        <f>calculoA!G54</f>
        <v>3</v>
      </c>
      <c r="I19" s="84">
        <f>calculoA!H54</f>
        <v>1</v>
      </c>
      <c r="J19" s="84">
        <f>calculoA!I54</f>
        <v>2</v>
      </c>
      <c r="K19" s="84">
        <f>calculoA!J54</f>
        <v>2</v>
      </c>
      <c r="L19" s="84">
        <f>calculoA!K54</f>
        <v>4</v>
      </c>
      <c r="M19" s="84">
        <f>K19-L19</f>
        <v>-2</v>
      </c>
      <c r="N19" s="84">
        <f>calculoA!L54</f>
        <v>-15</v>
      </c>
      <c r="O19" s="84">
        <f>calculoA!M54</f>
        <v>1</v>
      </c>
      <c r="P19" s="87"/>
      <c r="Q19" s="66"/>
      <c r="R19" s="67"/>
      <c r="S19" s="66"/>
    </row>
    <row r="20" spans="1:25" x14ac:dyDescent="0.2">
      <c r="A20" s="54"/>
      <c r="B20" s="54"/>
      <c r="C20" s="54"/>
      <c r="D20" s="54"/>
      <c r="E20" s="54"/>
      <c r="F20" s="88"/>
      <c r="G20" s="89" t="str">
        <f>calculoA!F55</f>
        <v>Jesús García</v>
      </c>
      <c r="H20" s="84">
        <f>calculoA!G55</f>
        <v>3</v>
      </c>
      <c r="I20" s="84">
        <f>calculoA!H55</f>
        <v>0</v>
      </c>
      <c r="J20" s="84">
        <f>calculoA!I55</f>
        <v>3</v>
      </c>
      <c r="K20" s="84">
        <f>calculoA!J55</f>
        <v>0</v>
      </c>
      <c r="L20" s="84">
        <f>calculoA!K55</f>
        <v>6</v>
      </c>
      <c r="M20" s="84">
        <f>K20-L20</f>
        <v>-6</v>
      </c>
      <c r="N20" s="84">
        <f>calculoA!L55</f>
        <v>-24</v>
      </c>
      <c r="O20" s="84">
        <f>calculoA!M55</f>
        <v>0</v>
      </c>
      <c r="P20" s="87"/>
      <c r="Q20" s="87"/>
      <c r="R20" s="90"/>
      <c r="S20" s="87"/>
    </row>
    <row r="21" spans="1:2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91"/>
      <c r="O21" s="91"/>
      <c r="P21" s="91"/>
      <c r="Q21" s="91"/>
      <c r="R21" s="92"/>
      <c r="S21" s="91"/>
    </row>
    <row r="22" spans="1:25" ht="11.2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1"/>
      <c r="O22" s="91"/>
      <c r="P22" s="91"/>
      <c r="Q22" s="91"/>
      <c r="R22" s="92"/>
      <c r="S22" s="91"/>
    </row>
    <row r="23" spans="1:25" ht="9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91"/>
      <c r="O23" s="91"/>
      <c r="P23" s="91"/>
      <c r="Q23" s="54"/>
      <c r="R23" s="93"/>
      <c r="S23" s="91"/>
    </row>
    <row r="24" spans="1:25" ht="13.5" x14ac:dyDescent="0.25">
      <c r="A24" s="54"/>
      <c r="B24" s="94"/>
      <c r="C24" s="95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96"/>
      <c r="O24" s="96"/>
      <c r="P24" s="175" t="s">
        <v>19</v>
      </c>
      <c r="Q24" s="176">
        <f ca="1">TODAY()</f>
        <v>44548</v>
      </c>
      <c r="R24" s="177">
        <f ca="1">NOW()</f>
        <v>44548.522529282411</v>
      </c>
      <c r="S24" s="97"/>
    </row>
    <row r="25" spans="1:25" ht="12.75" hidden="1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9"/>
      <c r="O25" s="99"/>
      <c r="P25" s="99"/>
      <c r="Q25" s="100">
        <f ca="1">HOUR(R24)</f>
        <v>12</v>
      </c>
      <c r="R25" s="100">
        <f ca="1">MINUTE(R24)</f>
        <v>32</v>
      </c>
      <c r="S25" s="101"/>
      <c r="T25" s="5"/>
    </row>
    <row r="26" spans="1:25" ht="12.75" hidden="1" customHeight="1" x14ac:dyDescent="0.2">
      <c r="A26" s="54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9"/>
      <c r="O26" s="99"/>
      <c r="P26" s="98"/>
      <c r="Q26" s="100"/>
      <c r="R26" s="102">
        <f ca="1">TIME(Q25,R25,0)</f>
        <v>0.52222222222222225</v>
      </c>
      <c r="S26" s="101"/>
      <c r="T26" s="5"/>
    </row>
    <row r="27" spans="1: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91"/>
      <c r="O27" s="91"/>
      <c r="P27" s="91"/>
      <c r="Q27" s="97"/>
      <c r="R27" s="97"/>
      <c r="S27" s="97"/>
    </row>
    <row r="28" spans="1: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91"/>
      <c r="O28" s="91"/>
      <c r="P28" s="91"/>
      <c r="Q28" s="323" t="s">
        <v>31</v>
      </c>
      <c r="R28" s="324"/>
      <c r="S28" s="97"/>
    </row>
    <row r="29" spans="1:25" x14ac:dyDescent="0.2">
      <c r="A29" s="54"/>
      <c r="B29" s="178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91"/>
      <c r="O29" s="91"/>
      <c r="P29" s="91"/>
      <c r="Q29" s="97"/>
      <c r="R29" s="97"/>
      <c r="S29" s="97"/>
    </row>
    <row r="30" spans="1:25" x14ac:dyDescent="0.2">
      <c r="A30" s="54"/>
      <c r="B30" s="104" t="s">
        <v>78</v>
      </c>
      <c r="C30" s="59" t="s">
        <v>55</v>
      </c>
      <c r="D30" s="59" t="s">
        <v>57</v>
      </c>
      <c r="E30" s="59" t="s">
        <v>56</v>
      </c>
      <c r="F30" s="58"/>
      <c r="G30" s="59" t="s">
        <v>79</v>
      </c>
      <c r="H30" s="325" t="s">
        <v>13</v>
      </c>
      <c r="I30" s="325"/>
      <c r="J30" s="326" t="s">
        <v>32</v>
      </c>
      <c r="K30" s="326"/>
      <c r="L30" s="326" t="s">
        <v>83</v>
      </c>
      <c r="M30" s="326"/>
      <c r="N30" s="327"/>
      <c r="O30" s="327"/>
      <c r="P30" s="54"/>
      <c r="Q30" s="54"/>
      <c r="R30" s="54"/>
      <c r="S30" s="54"/>
    </row>
    <row r="31" spans="1:25" x14ac:dyDescent="0.2">
      <c r="A31" s="54"/>
      <c r="B31" s="173"/>
      <c r="C31" s="62"/>
      <c r="D31" s="62"/>
      <c r="E31" s="62"/>
      <c r="F31" s="174"/>
      <c r="G31" s="64"/>
      <c r="H31" s="318"/>
      <c r="I31" s="318"/>
      <c r="J31" s="317"/>
      <c r="K31" s="317"/>
      <c r="L31" s="320"/>
      <c r="M31" s="320"/>
      <c r="N31" s="329"/>
      <c r="O31" s="330"/>
      <c r="P31" s="331"/>
      <c r="Q31" s="331"/>
      <c r="R31" s="331"/>
      <c r="S31" s="331"/>
      <c r="T31" s="332"/>
    </row>
    <row r="32" spans="1:25" x14ac:dyDescent="0.2">
      <c r="A32" s="54"/>
      <c r="B32" s="61"/>
      <c r="C32" s="105"/>
      <c r="D32" s="105"/>
      <c r="E32" s="106"/>
      <c r="F32" s="63"/>
      <c r="G32" s="64"/>
      <c r="H32" s="318"/>
      <c r="I32" s="318"/>
      <c r="J32" s="317"/>
      <c r="K32" s="317"/>
      <c r="L32" s="320"/>
      <c r="M32" s="320"/>
      <c r="N32" s="329"/>
      <c r="O32" s="330"/>
      <c r="P32" s="331"/>
      <c r="Q32" s="331"/>
      <c r="R32" s="331"/>
      <c r="S32" s="331"/>
      <c r="T32" s="332"/>
    </row>
    <row r="33" spans="1:19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x14ac:dyDescent="0.2"/>
    <row r="35" spans="1:19" x14ac:dyDescent="0.2"/>
    <row r="36" spans="1:19" x14ac:dyDescent="0.2"/>
    <row r="37" spans="1:19" x14ac:dyDescent="0.2"/>
    <row r="38" spans="1:19" x14ac:dyDescent="0.2"/>
    <row r="39" spans="1:19" x14ac:dyDescent="0.2"/>
  </sheetData>
  <sheetProtection sheet="1" objects="1" scenarios="1"/>
  <dataConsolidate/>
  <mergeCells count="47">
    <mergeCell ref="A1:S2"/>
    <mergeCell ref="B4:M4"/>
    <mergeCell ref="H6:I6"/>
    <mergeCell ref="J6:K6"/>
    <mergeCell ref="L6:M6"/>
    <mergeCell ref="P4:S5"/>
    <mergeCell ref="H5:I5"/>
    <mergeCell ref="J5:K5"/>
    <mergeCell ref="L5:O5"/>
    <mergeCell ref="N6:O6"/>
    <mergeCell ref="H32:I32"/>
    <mergeCell ref="J32:K32"/>
    <mergeCell ref="Q7:R7"/>
    <mergeCell ref="Q9:R9"/>
    <mergeCell ref="Q11:R11"/>
    <mergeCell ref="Q13:R13"/>
    <mergeCell ref="H10:I10"/>
    <mergeCell ref="N7:O7"/>
    <mergeCell ref="N10:O10"/>
    <mergeCell ref="L32:M32"/>
    <mergeCell ref="N32:T32"/>
    <mergeCell ref="N31:T31"/>
    <mergeCell ref="L8:M8"/>
    <mergeCell ref="L11:M11"/>
    <mergeCell ref="L9:M9"/>
    <mergeCell ref="L10:M10"/>
    <mergeCell ref="Q28:R28"/>
    <mergeCell ref="H30:I30"/>
    <mergeCell ref="J30:K30"/>
    <mergeCell ref="L30:O30"/>
    <mergeCell ref="L31:M31"/>
    <mergeCell ref="H31:I31"/>
    <mergeCell ref="J31:K31"/>
    <mergeCell ref="J7:K7"/>
    <mergeCell ref="J8:K8"/>
    <mergeCell ref="H7:I7"/>
    <mergeCell ref="G15:O15"/>
    <mergeCell ref="H11:I11"/>
    <mergeCell ref="L7:M7"/>
    <mergeCell ref="H8:I8"/>
    <mergeCell ref="N8:O8"/>
    <mergeCell ref="J9:K9"/>
    <mergeCell ref="J10:K10"/>
    <mergeCell ref="H9:I9"/>
    <mergeCell ref="J11:K11"/>
    <mergeCell ref="N11:O11"/>
    <mergeCell ref="N9:O9"/>
  </mergeCells>
  <phoneticPr fontId="26" type="noConversion"/>
  <conditionalFormatting sqref="G17:O18">
    <cfRule type="expression" dxfId="73" priority="14" stopIfTrue="1">
      <formula>IF(AND($H$17=3,$H$18=3,$H$19=3,$H$20=3),1,0)</formula>
    </cfRule>
  </conditionalFormatting>
  <conditionalFormatting sqref="G6:G7 C31:E32 C6:E11">
    <cfRule type="expression" dxfId="72" priority="16" stopIfTrue="1">
      <formula>IF(OR($L$6="en juego",$L$6="hoy!"),1,0)</formula>
    </cfRule>
  </conditionalFormatting>
  <conditionalFormatting sqref="G6">
    <cfRule type="expression" dxfId="71" priority="17" stopIfTrue="1">
      <formula>IF(OR($L$8="en juego",$L$8="hoy!"),1,0)</formula>
    </cfRule>
  </conditionalFormatting>
  <conditionalFormatting sqref="B32">
    <cfRule type="expression" dxfId="70" priority="18" stopIfTrue="1">
      <formula>IF(OR($L$9="en juego",$L$9="hoy!"),1,0)</formula>
    </cfRule>
  </conditionalFormatting>
  <conditionalFormatting sqref="G32 G9:G11">
    <cfRule type="expression" dxfId="69" priority="27" stopIfTrue="1">
      <formula>IF(OR($L$9="en juego",$L$9="hoy!"),1,0)</formula>
    </cfRule>
  </conditionalFormatting>
  <conditionalFormatting sqref="G8">
    <cfRule type="expression" dxfId="68" priority="28" stopIfTrue="1">
      <formula>IF(OR($L$8="en juego",$L$8="hoy!"),1,0)</formula>
    </cfRule>
  </conditionalFormatting>
  <conditionalFormatting sqref="F32 L32:M32">
    <cfRule type="expression" dxfId="67" priority="29" stopIfTrue="1">
      <formula>IF(OR($L$7="en juego",$L$7="hoy!"),1,0)</formula>
    </cfRule>
  </conditionalFormatting>
  <conditionalFormatting sqref="F19">
    <cfRule type="expression" dxfId="66" priority="32" stopIfTrue="1">
      <formula>IF(AND($H$17=2,$H$18=2,$H$19=3,$H$20=3),1,0)</formula>
    </cfRule>
  </conditionalFormatting>
  <conditionalFormatting sqref="H6:I6 H31:I32 H8:I11">
    <cfRule type="expression" dxfId="65" priority="33" stopIfTrue="1">
      <formula>IF(OR(L6="en juego",L6="hoy!"),1,0)</formula>
    </cfRule>
  </conditionalFormatting>
  <conditionalFormatting sqref="J31:K32 J8:K11">
    <cfRule type="expression" dxfId="64" priority="34" stopIfTrue="1">
      <formula>IF(OR(L8="en juego",L8="hoy!"),1,0)</formula>
    </cfRule>
  </conditionalFormatting>
  <conditionalFormatting sqref="F18">
    <cfRule type="expression" dxfId="63" priority="35" stopIfTrue="1">
      <formula>IF(AND($H$17=3,$H$18=3,$H$19=3,$H$20=3),1,0)</formula>
    </cfRule>
  </conditionalFormatting>
  <conditionalFormatting sqref="F17">
    <cfRule type="expression" dxfId="62" priority="36" stopIfTrue="1">
      <formula>IF(AND($H$17=3,$H$18=3,$H$19=3,$H$20=3),1,0)</formula>
    </cfRule>
  </conditionalFormatting>
  <conditionalFormatting sqref="B6:B11 B31">
    <cfRule type="expression" dxfId="61" priority="37" stopIfTrue="1">
      <formula>IF(OR(L6="en juego",L6="hoy!"),1,0)</formula>
    </cfRule>
  </conditionalFormatting>
  <conditionalFormatting sqref="F6:F11 F31">
    <cfRule type="expression" dxfId="60" priority="38" stopIfTrue="1">
      <formula>IF(OR(L6="en juego",L6="hoy!"),1,0)</formula>
    </cfRule>
  </conditionalFormatting>
  <conditionalFormatting sqref="N31:O32">
    <cfRule type="expression" dxfId="59" priority="39" stopIfTrue="1">
      <formula>IF(OR(L31="en juego",L31="hoy!"),1,0)</formula>
    </cfRule>
  </conditionalFormatting>
  <conditionalFormatting sqref="G31">
    <cfRule type="expression" dxfId="58" priority="8" stopIfTrue="1">
      <formula>IF(OR($L$9="en juego",$L$9="hoy!"),1,0)</formula>
    </cfRule>
  </conditionalFormatting>
  <conditionalFormatting sqref="L31:M31">
    <cfRule type="expression" dxfId="57" priority="6" stopIfTrue="1">
      <formula>IF(OR($L$7="en juego",$L$7="hoy!"),1,0)</formula>
    </cfRule>
  </conditionalFormatting>
  <conditionalFormatting sqref="J6:K6">
    <cfRule type="expression" dxfId="56" priority="5" stopIfTrue="1">
      <formula>IF(OR(L6="en juego",L6="hoy!"),1,0)</formula>
    </cfRule>
  </conditionalFormatting>
  <conditionalFormatting sqref="H7:I7">
    <cfRule type="expression" dxfId="55" priority="3" stopIfTrue="1">
      <formula>IF(OR(L7="en juego",L7="hoy!"),1,0)</formula>
    </cfRule>
  </conditionalFormatting>
  <conditionalFormatting sqref="J7:K7">
    <cfRule type="expression" dxfId="54" priority="4" stopIfTrue="1">
      <formula>IF(OR(L7="en juego",L7="hoy!"),1,0)</formula>
    </cfRule>
  </conditionalFormatting>
  <conditionalFormatting sqref="L6:M6">
    <cfRule type="expression" dxfId="53" priority="2" stopIfTrue="1">
      <formula>IF(OR($L$6="en juego",$L$6="hoy!"),1,0)</formula>
    </cfRule>
  </conditionalFormatting>
  <conditionalFormatting sqref="L7:M11">
    <cfRule type="expression" dxfId="52" priority="1" stopIfTrue="1">
      <formula>IF(OR($L$6="en juego",$L$6="hoy!"),1,0)</formula>
    </cfRule>
  </conditionalFormatting>
  <dataValidations count="2">
    <dataValidation type="list" allowBlank="1" showErrorMessage="1" errorTitle="Dato no válido" error="Ingrese sólo un número entero_x000a_entre 0 y 99." sqref="C6:E11 C32:D32 C31:E31">
      <formula1>$X$4:$X$18</formula1>
    </dataValidation>
    <dataValidation allowBlank="1" showErrorMessage="1" errorTitle="Dato no válido" error="Ingrese sólo un número entero_x000a_entre 0 y 99." sqref="E32"/>
  </dataValidations>
  <hyperlinks>
    <hyperlink ref="Q28:R28" location="Menu!A1" display="Menu Principal"/>
  </hyperlinks>
  <pageMargins left="0.75" right="0.75" top="1" bottom="1" header="0" footer="0"/>
  <pageSetup paperSize="9" scale="74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Z39"/>
  <sheetViews>
    <sheetView showGridLines="0" showRowColHeaders="0" zoomScaleNormal="100" workbookViewId="0">
      <selection activeCell="Q28" sqref="Q28:R28"/>
    </sheetView>
  </sheetViews>
  <sheetFormatPr baseColWidth="10" defaultColWidth="0" defaultRowHeight="12.75" zeroHeight="1" x14ac:dyDescent="0.2"/>
  <cols>
    <col min="1" max="1" width="2.7109375" style="4" customWidth="1"/>
    <col min="2" max="2" width="14.28515625" style="4" customWidth="1"/>
    <col min="3" max="5" width="3.42578125" style="4" customWidth="1"/>
    <col min="6" max="7" width="14.28515625" style="4" customWidth="1"/>
    <col min="8" max="12" width="3.7109375" style="4" customWidth="1"/>
    <col min="13" max="14" width="3.85546875" style="4" customWidth="1"/>
    <col min="15" max="15" width="4.7109375" style="4" customWidth="1"/>
    <col min="16" max="16" width="5.7109375" style="4" customWidth="1"/>
    <col min="17" max="18" width="7.7109375" style="4" customWidth="1"/>
    <col min="19" max="19" width="5.7109375" style="4" customWidth="1"/>
    <col min="20" max="20" width="7.7109375" style="4" customWidth="1"/>
    <col min="21" max="23" width="11.42578125" style="4" customWidth="1"/>
    <col min="24" max="25" width="0" style="4" hidden="1" customWidth="1"/>
    <col min="26" max="26" width="11.42578125" style="4" customWidth="1"/>
    <col min="27" max="16384" width="0" style="4" hidden="1"/>
  </cols>
  <sheetData>
    <row r="1" spans="1:26" s="6" customFormat="1" ht="35.1" customHeight="1" x14ac:dyDescent="0.2">
      <c r="A1" s="333" t="str">
        <f>'- A -'!A1:S2</f>
        <v>LINARES 2021 - Primera fase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9"/>
      <c r="U1" s="167"/>
      <c r="V1" s="5"/>
      <c r="W1" s="5"/>
      <c r="X1" s="5"/>
      <c r="Y1" s="5"/>
      <c r="Z1" s="264"/>
    </row>
    <row r="2" spans="1:26" s="6" customFormat="1" ht="35.1" customHeight="1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40"/>
      <c r="U2" s="167"/>
      <c r="V2" s="5"/>
      <c r="W2" s="5"/>
      <c r="X2" s="5"/>
      <c r="Y2" s="5"/>
      <c r="Z2" s="264"/>
    </row>
    <row r="3" spans="1:26" ht="21" customHeight="1" x14ac:dyDescent="0.2">
      <c r="A3" s="54"/>
      <c r="B3" s="54"/>
      <c r="C3" s="54"/>
      <c r="D3" s="54"/>
      <c r="E3" s="54"/>
      <c r="F3" s="54"/>
      <c r="G3" s="55"/>
      <c r="H3" s="54"/>
      <c r="I3" s="54"/>
      <c r="J3" s="54"/>
      <c r="K3" s="54"/>
      <c r="L3" s="56"/>
      <c r="M3" s="57"/>
      <c r="N3" s="54"/>
      <c r="O3" s="54"/>
      <c r="P3" s="54"/>
      <c r="Q3" s="54"/>
      <c r="R3" s="55"/>
      <c r="S3" s="54"/>
      <c r="X3" s="28" t="s">
        <v>40</v>
      </c>
      <c r="Y3" s="29" t="s">
        <v>41</v>
      </c>
    </row>
    <row r="4" spans="1:26" ht="12.75" customHeight="1" x14ac:dyDescent="0.2">
      <c r="A4" s="54"/>
      <c r="B4" s="319" t="s">
        <v>3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54"/>
      <c r="O4" s="54"/>
      <c r="P4" s="334" t="s">
        <v>67</v>
      </c>
      <c r="Q4" s="335"/>
      <c r="R4" s="335"/>
      <c r="S4" s="335"/>
      <c r="X4" s="30" t="s">
        <v>42</v>
      </c>
      <c r="Y4" s="31">
        <v>-6</v>
      </c>
    </row>
    <row r="5" spans="1:26" ht="12.75" customHeight="1" x14ac:dyDescent="0.2">
      <c r="A5" s="54"/>
      <c r="B5" s="104" t="s">
        <v>78</v>
      </c>
      <c r="C5" s="59" t="s">
        <v>55</v>
      </c>
      <c r="D5" s="59" t="s">
        <v>57</v>
      </c>
      <c r="E5" s="59" t="s">
        <v>56</v>
      </c>
      <c r="F5" s="104" t="s">
        <v>78</v>
      </c>
      <c r="G5" s="59" t="s">
        <v>79</v>
      </c>
      <c r="H5" s="325" t="s">
        <v>13</v>
      </c>
      <c r="I5" s="325"/>
      <c r="J5" s="326" t="s">
        <v>32</v>
      </c>
      <c r="K5" s="326"/>
      <c r="L5" s="326" t="s">
        <v>83</v>
      </c>
      <c r="M5" s="326"/>
      <c r="N5" s="327"/>
      <c r="O5" s="327"/>
      <c r="P5" s="335"/>
      <c r="Q5" s="335"/>
      <c r="R5" s="335"/>
      <c r="S5" s="335"/>
      <c r="X5" s="32" t="s">
        <v>43</v>
      </c>
      <c r="Y5" s="33">
        <v>-5</v>
      </c>
    </row>
    <row r="6" spans="1:26" ht="14.25" customHeight="1" x14ac:dyDescent="0.2">
      <c r="A6" s="60" t="str">
        <f t="shared" ref="A6:A11" ca="1" si="0">IF(OR(L6="finalizado",L6="en juego",L6="hoy!"),"Ø","")</f>
        <v/>
      </c>
      <c r="B6" s="173" t="str">
        <f>IF(Q7&lt;&gt;"",Q7,"")</f>
        <v>Javier Cabello</v>
      </c>
      <c r="C6" s="62" t="s">
        <v>39</v>
      </c>
      <c r="D6" s="62" t="s">
        <v>39</v>
      </c>
      <c r="E6" s="62" t="s">
        <v>4</v>
      </c>
      <c r="F6" s="174" t="str">
        <f>IF(Q13&lt;&gt;"",Q13,"")</f>
        <v>Fernando Sanz</v>
      </c>
      <c r="G6" s="64" t="s">
        <v>165</v>
      </c>
      <c r="H6" s="318">
        <v>44502</v>
      </c>
      <c r="I6" s="318"/>
      <c r="J6" s="317">
        <v>0.75</v>
      </c>
      <c r="K6" s="317"/>
      <c r="L6" s="320" t="str">
        <f t="shared" ref="L6:L11" ca="1" si="1">IF(OR(H6="",J6="",H6&lt;$Q$24),"",IF(H6=$Q$24,IF(AND(J6&lt;=$R$26,$R$26&lt;=(J6+0.08333333333)),"en juego",IF($R$26&lt;J6,"hoy!","finalizado")),IF($Q$24&gt;H6,"finalizado","")))</f>
        <v/>
      </c>
      <c r="M6" s="320"/>
      <c r="N6" s="329" t="s">
        <v>169</v>
      </c>
      <c r="O6" s="338"/>
      <c r="P6" s="107"/>
      <c r="Q6" s="96"/>
      <c r="R6" s="108"/>
      <c r="S6" s="109"/>
      <c r="X6" s="34" t="s">
        <v>44</v>
      </c>
      <c r="Y6" s="33">
        <v>-4</v>
      </c>
    </row>
    <row r="7" spans="1:26" ht="14.25" customHeight="1" x14ac:dyDescent="0.2">
      <c r="A7" s="60" t="str">
        <f t="shared" ca="1" si="0"/>
        <v/>
      </c>
      <c r="B7" s="173" t="str">
        <f>IF(Q11&lt;&gt;"",Q11,"")</f>
        <v>Isma Barrionuevo</v>
      </c>
      <c r="C7" s="62" t="s">
        <v>52</v>
      </c>
      <c r="D7" s="62" t="s">
        <v>53</v>
      </c>
      <c r="E7" s="62" t="s">
        <v>4</v>
      </c>
      <c r="F7" s="174" t="str">
        <f>IF(Q9&lt;&gt;"",Q9,"")</f>
        <v>Luis C. Torres</v>
      </c>
      <c r="G7" s="64" t="s">
        <v>165</v>
      </c>
      <c r="H7" s="318">
        <v>44512</v>
      </c>
      <c r="I7" s="318"/>
      <c r="J7" s="317"/>
      <c r="K7" s="317"/>
      <c r="L7" s="320" t="str">
        <f t="shared" ca="1" si="1"/>
        <v/>
      </c>
      <c r="M7" s="320"/>
      <c r="N7" s="329"/>
      <c r="O7" s="338"/>
      <c r="P7" s="65"/>
      <c r="Q7" s="328" t="str">
        <f>Menu!K7</f>
        <v>Javier Cabello</v>
      </c>
      <c r="R7" s="328"/>
      <c r="S7" s="65"/>
      <c r="X7" s="34" t="s">
        <v>45</v>
      </c>
      <c r="Y7" s="33">
        <v>-3</v>
      </c>
    </row>
    <row r="8" spans="1:26" ht="14.25" customHeight="1" x14ac:dyDescent="0.2">
      <c r="A8" s="60" t="str">
        <f t="shared" ca="1" si="0"/>
        <v/>
      </c>
      <c r="B8" s="173" t="str">
        <f>IF(Q7&lt;&gt;"",Q7,"")</f>
        <v>Javier Cabello</v>
      </c>
      <c r="C8" s="62" t="s">
        <v>50</v>
      </c>
      <c r="D8" s="62" t="s">
        <v>39</v>
      </c>
      <c r="E8" s="62" t="s">
        <v>4</v>
      </c>
      <c r="F8" s="174" t="str">
        <f>IF(Q11&lt;&gt;"",Q11,"")</f>
        <v>Isma Barrionuevo</v>
      </c>
      <c r="G8" s="64" t="s">
        <v>165</v>
      </c>
      <c r="H8" s="318">
        <v>44511</v>
      </c>
      <c r="I8" s="318"/>
      <c r="J8" s="317">
        <v>0.6875</v>
      </c>
      <c r="K8" s="317"/>
      <c r="L8" s="320" t="str">
        <f t="shared" ca="1" si="1"/>
        <v/>
      </c>
      <c r="M8" s="320"/>
      <c r="N8" s="329" t="s">
        <v>169</v>
      </c>
      <c r="O8" s="338"/>
      <c r="P8" s="54"/>
      <c r="Q8" s="66"/>
      <c r="R8" s="67"/>
      <c r="S8" s="58"/>
      <c r="X8" s="35" t="s">
        <v>46</v>
      </c>
      <c r="Y8" s="33">
        <v>-2</v>
      </c>
    </row>
    <row r="9" spans="1:26" ht="14.25" customHeight="1" x14ac:dyDescent="0.2">
      <c r="A9" s="60" t="str">
        <f t="shared" ca="1" si="0"/>
        <v/>
      </c>
      <c r="B9" s="173" t="str">
        <f>IF(Q13&lt;&gt;"",Q13,"")</f>
        <v>Fernando Sanz</v>
      </c>
      <c r="C9" s="62" t="s">
        <v>53</v>
      </c>
      <c r="D9" s="62" t="s">
        <v>43</v>
      </c>
      <c r="E9" s="62" t="s">
        <v>54</v>
      </c>
      <c r="F9" s="174" t="str">
        <f>IF(Q9&lt;&gt;"",Q9,"")</f>
        <v>Luis C. Torres</v>
      </c>
      <c r="G9" s="64" t="s">
        <v>165</v>
      </c>
      <c r="H9" s="318">
        <v>44504</v>
      </c>
      <c r="I9" s="318"/>
      <c r="J9" s="317">
        <v>0.5</v>
      </c>
      <c r="K9" s="317"/>
      <c r="L9" s="320" t="str">
        <f ca="1">IF(OR(H9="",J9="",H9&lt;$Q$24),"",IF(H9=$Q$24,IF(AND(J9&lt;=$R$26,$R$26&lt;=(J9+0.08333333333)),"en juego",IF($R$26&lt;J9,"hoy!","finalizado")),IF($Q$24&gt;H9,"finalizado","")))</f>
        <v/>
      </c>
      <c r="M9" s="320"/>
      <c r="N9" s="329" t="s">
        <v>121</v>
      </c>
      <c r="O9" s="338"/>
      <c r="P9" s="65"/>
      <c r="Q9" s="328" t="str">
        <f>Menu!K9</f>
        <v>Luis C. Torres</v>
      </c>
      <c r="R9" s="328"/>
      <c r="S9" s="65"/>
      <c r="X9" s="34" t="s">
        <v>47</v>
      </c>
      <c r="Y9" s="33">
        <v>-2</v>
      </c>
    </row>
    <row r="10" spans="1:26" ht="14.25" customHeight="1" x14ac:dyDescent="0.2">
      <c r="A10" s="60" t="str">
        <f t="shared" ca="1" si="0"/>
        <v/>
      </c>
      <c r="B10" s="173" t="str">
        <f>IF(Q13&lt;&gt;"",Q13,"")</f>
        <v>Fernando Sanz</v>
      </c>
      <c r="C10" s="62" t="s">
        <v>43</v>
      </c>
      <c r="D10" s="62" t="s">
        <v>51</v>
      </c>
      <c r="E10" s="62" t="s">
        <v>43</v>
      </c>
      <c r="F10" s="174" t="str">
        <f>IF(Q11&lt;&gt;"",Q11,"")</f>
        <v>Isma Barrionuevo</v>
      </c>
      <c r="G10" s="64" t="s">
        <v>165</v>
      </c>
      <c r="H10" s="318">
        <v>44497</v>
      </c>
      <c r="I10" s="318"/>
      <c r="J10" s="317">
        <v>0.4375</v>
      </c>
      <c r="K10" s="317"/>
      <c r="L10" s="320" t="str">
        <f t="shared" ca="1" si="1"/>
        <v/>
      </c>
      <c r="M10" s="320"/>
      <c r="N10" s="329" t="s">
        <v>170</v>
      </c>
      <c r="O10" s="338"/>
      <c r="P10" s="54"/>
      <c r="Q10" s="66"/>
      <c r="R10" s="67"/>
      <c r="S10" s="58"/>
      <c r="T10" s="25"/>
      <c r="X10" s="34" t="s">
        <v>48</v>
      </c>
      <c r="Y10" s="33">
        <v>-1.01</v>
      </c>
    </row>
    <row r="11" spans="1:26" ht="14.25" customHeight="1" x14ac:dyDescent="0.2">
      <c r="A11" s="60" t="str">
        <f t="shared" ca="1" si="0"/>
        <v/>
      </c>
      <c r="B11" s="173" t="str">
        <f>IF(Q9&lt;&gt;"",Q9,"")</f>
        <v>Luis C. Torres</v>
      </c>
      <c r="C11" s="62" t="s">
        <v>47</v>
      </c>
      <c r="D11" s="62" t="s">
        <v>43</v>
      </c>
      <c r="E11" s="62" t="s">
        <v>4</v>
      </c>
      <c r="F11" s="174" t="str">
        <f>IF(Q7&lt;&gt;"",Q7,"")</f>
        <v>Javier Cabello</v>
      </c>
      <c r="G11" s="64" t="s">
        <v>165</v>
      </c>
      <c r="H11" s="318">
        <v>44505</v>
      </c>
      <c r="I11" s="318"/>
      <c r="J11" s="317">
        <v>0.4375</v>
      </c>
      <c r="K11" s="317"/>
      <c r="L11" s="320" t="str">
        <f t="shared" ca="1" si="1"/>
        <v/>
      </c>
      <c r="M11" s="320"/>
      <c r="N11" s="329" t="s">
        <v>169</v>
      </c>
      <c r="O11" s="338"/>
      <c r="P11" s="65"/>
      <c r="Q11" s="328" t="str">
        <f>Menu!K11</f>
        <v>Isma Barrionuevo</v>
      </c>
      <c r="R11" s="328"/>
      <c r="S11" s="65"/>
      <c r="X11" s="35" t="s">
        <v>49</v>
      </c>
      <c r="Y11" s="33">
        <v>6</v>
      </c>
    </row>
    <row r="12" spans="1:26" ht="14.25" customHeight="1" x14ac:dyDescent="0.2">
      <c r="A12" s="58"/>
      <c r="B12" s="68"/>
      <c r="C12" s="69"/>
      <c r="D12" s="70"/>
      <c r="E12" s="69"/>
      <c r="F12" s="58"/>
      <c r="G12" s="71"/>
      <c r="H12" s="70"/>
      <c r="I12" s="72"/>
      <c r="J12" s="56"/>
      <c r="K12" s="73"/>
      <c r="L12" s="74"/>
      <c r="M12" s="74"/>
      <c r="N12" s="54"/>
      <c r="O12" s="58"/>
      <c r="P12" s="54"/>
      <c r="Q12" s="66"/>
      <c r="R12" s="67"/>
      <c r="S12" s="58"/>
      <c r="X12" s="35" t="s">
        <v>50</v>
      </c>
      <c r="Y12" s="33">
        <v>5</v>
      </c>
    </row>
    <row r="13" spans="1:26" ht="14.25" customHeight="1" x14ac:dyDescent="0.2">
      <c r="A13" s="54"/>
      <c r="B13" s="68"/>
      <c r="C13" s="69"/>
      <c r="D13" s="70"/>
      <c r="E13" s="69"/>
      <c r="F13" s="58"/>
      <c r="G13" s="71"/>
      <c r="H13" s="70"/>
      <c r="I13" s="70"/>
      <c r="J13" s="56"/>
      <c r="K13" s="75"/>
      <c r="L13" s="74"/>
      <c r="M13" s="74"/>
      <c r="N13" s="54"/>
      <c r="O13" s="58"/>
      <c r="P13" s="65"/>
      <c r="Q13" s="328" t="str">
        <f>Menu!K13</f>
        <v>Fernando Sanz</v>
      </c>
      <c r="R13" s="328"/>
      <c r="S13" s="65"/>
      <c r="X13" s="35" t="s">
        <v>51</v>
      </c>
      <c r="Y13" s="33">
        <v>4</v>
      </c>
    </row>
    <row r="14" spans="1:26" ht="13.5" customHeight="1" x14ac:dyDescent="0.2">
      <c r="A14" s="54"/>
      <c r="B14" s="68"/>
      <c r="C14" s="69"/>
      <c r="D14" s="70"/>
      <c r="E14" s="69"/>
      <c r="F14" s="58"/>
      <c r="G14" s="71"/>
      <c r="H14" s="70"/>
      <c r="I14" s="70"/>
      <c r="J14" s="76"/>
      <c r="K14" s="56"/>
      <c r="L14" s="74"/>
      <c r="M14" s="74"/>
      <c r="N14" s="54"/>
      <c r="O14" s="77"/>
      <c r="P14" s="54"/>
      <c r="Q14" s="78"/>
      <c r="R14" s="79"/>
      <c r="S14" s="58"/>
      <c r="X14" s="35" t="s">
        <v>52</v>
      </c>
      <c r="Y14" s="33">
        <v>3</v>
      </c>
    </row>
    <row r="15" spans="1:26" x14ac:dyDescent="0.2">
      <c r="A15" s="54"/>
      <c r="B15" s="54"/>
      <c r="C15" s="54"/>
      <c r="D15" s="54"/>
      <c r="E15" s="54"/>
      <c r="F15" s="54"/>
      <c r="G15" s="319" t="s">
        <v>14</v>
      </c>
      <c r="H15" s="319"/>
      <c r="I15" s="319"/>
      <c r="J15" s="319"/>
      <c r="K15" s="319"/>
      <c r="L15" s="319"/>
      <c r="M15" s="319"/>
      <c r="N15" s="319"/>
      <c r="O15" s="319"/>
      <c r="P15" s="54"/>
      <c r="Q15" s="54"/>
      <c r="R15" s="55"/>
      <c r="S15" s="54"/>
      <c r="X15" s="35" t="s">
        <v>39</v>
      </c>
      <c r="Y15" s="33">
        <v>2</v>
      </c>
    </row>
    <row r="16" spans="1:26" x14ac:dyDescent="0.2">
      <c r="A16" s="54"/>
      <c r="B16" s="54"/>
      <c r="C16" s="54"/>
      <c r="D16" s="54"/>
      <c r="E16" s="54"/>
      <c r="F16" s="54"/>
      <c r="G16" s="80"/>
      <c r="H16" s="81" t="s">
        <v>15</v>
      </c>
      <c r="I16" s="81" t="s">
        <v>16</v>
      </c>
      <c r="J16" s="81" t="s">
        <v>17</v>
      </c>
      <c r="K16" s="81" t="s">
        <v>60</v>
      </c>
      <c r="L16" s="81" t="s">
        <v>61</v>
      </c>
      <c r="M16" s="81" t="s">
        <v>65</v>
      </c>
      <c r="N16" s="81" t="s">
        <v>64</v>
      </c>
      <c r="O16" s="81" t="s">
        <v>18</v>
      </c>
      <c r="P16" s="54"/>
      <c r="Q16" s="54"/>
      <c r="R16" s="55"/>
      <c r="S16" s="54"/>
      <c r="X16" s="35" t="s">
        <v>53</v>
      </c>
      <c r="Y16" s="33">
        <v>2</v>
      </c>
    </row>
    <row r="17" spans="1:25" x14ac:dyDescent="0.2">
      <c r="A17" s="54"/>
      <c r="B17" s="54"/>
      <c r="C17" s="54"/>
      <c r="D17" s="54"/>
      <c r="E17" s="54"/>
      <c r="F17" s="82" t="s">
        <v>38</v>
      </c>
      <c r="G17" s="83" t="str">
        <f>calculoB!F52</f>
        <v>Javier Cabello</v>
      </c>
      <c r="H17" s="84">
        <f>calculoB!G52</f>
        <v>3</v>
      </c>
      <c r="I17" s="84">
        <f>calculoB!H52</f>
        <v>3</v>
      </c>
      <c r="J17" s="84">
        <f>calculoB!I52</f>
        <v>0</v>
      </c>
      <c r="K17" s="84">
        <f>calculoB!J52</f>
        <v>6</v>
      </c>
      <c r="L17" s="84">
        <f>calculoB!K52</f>
        <v>0</v>
      </c>
      <c r="M17" s="84">
        <f>K17-L17</f>
        <v>6</v>
      </c>
      <c r="N17" s="84">
        <f>calculoB!L52</f>
        <v>18</v>
      </c>
      <c r="O17" s="84">
        <f>calculoB!M52</f>
        <v>3</v>
      </c>
      <c r="P17" s="85"/>
      <c r="Q17" s="66"/>
      <c r="R17" s="67"/>
      <c r="S17" s="66"/>
      <c r="X17" s="34" t="s">
        <v>54</v>
      </c>
      <c r="Y17" s="33">
        <v>1.01</v>
      </c>
    </row>
    <row r="18" spans="1:25" x14ac:dyDescent="0.2">
      <c r="A18" s="54"/>
      <c r="B18" s="54"/>
      <c r="C18" s="54"/>
      <c r="D18" s="54"/>
      <c r="E18" s="54"/>
      <c r="F18" s="82" t="s">
        <v>38</v>
      </c>
      <c r="G18" s="83" t="str">
        <f>calculoB!F53</f>
        <v>Isma Barrionuevo</v>
      </c>
      <c r="H18" s="84">
        <f>calculoB!G53</f>
        <v>3</v>
      </c>
      <c r="I18" s="84">
        <f>calculoB!H53</f>
        <v>2</v>
      </c>
      <c r="J18" s="84">
        <f>calculoB!I53</f>
        <v>1</v>
      </c>
      <c r="K18" s="84">
        <f>calculoB!J53</f>
        <v>4</v>
      </c>
      <c r="L18" s="84">
        <f>calculoB!K53</f>
        <v>3</v>
      </c>
      <c r="M18" s="84">
        <f>K18-L18</f>
        <v>1</v>
      </c>
      <c r="N18" s="84">
        <f>calculoB!L53</f>
        <v>4</v>
      </c>
      <c r="O18" s="84">
        <f>calculoB!M53</f>
        <v>2</v>
      </c>
      <c r="P18" s="85"/>
      <c r="Q18" s="66"/>
      <c r="R18" s="67"/>
      <c r="S18" s="66"/>
      <c r="X18" s="36" t="s">
        <v>4</v>
      </c>
      <c r="Y18" s="37">
        <v>0</v>
      </c>
    </row>
    <row r="19" spans="1:25" x14ac:dyDescent="0.2">
      <c r="A19" s="54"/>
      <c r="B19" s="54"/>
      <c r="C19" s="54"/>
      <c r="D19" s="54"/>
      <c r="E19" s="54"/>
      <c r="F19" s="66"/>
      <c r="G19" s="86" t="str">
        <f>calculoB!F54</f>
        <v>Fernando Sanz</v>
      </c>
      <c r="H19" s="84">
        <f>calculoB!G54</f>
        <v>3</v>
      </c>
      <c r="I19" s="84">
        <f>calculoB!H54</f>
        <v>1</v>
      </c>
      <c r="J19" s="84">
        <f>calculoB!I54</f>
        <v>2</v>
      </c>
      <c r="K19" s="84">
        <f>calculoB!J54</f>
        <v>3</v>
      </c>
      <c r="L19" s="84">
        <f>calculoB!K54</f>
        <v>5</v>
      </c>
      <c r="M19" s="84">
        <f>K19-L19</f>
        <v>-2</v>
      </c>
      <c r="N19" s="84">
        <f>calculoB!L54</f>
        <v>-11.99</v>
      </c>
      <c r="O19" s="84">
        <f>calculoB!M54</f>
        <v>1</v>
      </c>
      <c r="P19" s="87"/>
      <c r="Q19" s="66"/>
      <c r="R19" s="67"/>
      <c r="S19" s="66"/>
    </row>
    <row r="20" spans="1:25" x14ac:dyDescent="0.2">
      <c r="A20" s="54"/>
      <c r="B20" s="54"/>
      <c r="C20" s="54"/>
      <c r="D20" s="54"/>
      <c r="E20" s="54"/>
      <c r="F20" s="88"/>
      <c r="G20" s="89" t="str">
        <f>calculoB!F55</f>
        <v>Luis C. Torres</v>
      </c>
      <c r="H20" s="84">
        <f>calculoB!G55</f>
        <v>3</v>
      </c>
      <c r="I20" s="84">
        <f>calculoB!H55</f>
        <v>0</v>
      </c>
      <c r="J20" s="84">
        <f>calculoB!I55</f>
        <v>3</v>
      </c>
      <c r="K20" s="84">
        <f>calculoB!J55</f>
        <v>1</v>
      </c>
      <c r="L20" s="84">
        <f>calculoB!K55</f>
        <v>6</v>
      </c>
      <c r="M20" s="84">
        <f>K20-L20</f>
        <v>-5</v>
      </c>
      <c r="N20" s="84">
        <f>calculoB!L55</f>
        <v>-10.01</v>
      </c>
      <c r="O20" s="84">
        <f>calculoB!M55</f>
        <v>0</v>
      </c>
      <c r="P20" s="87"/>
      <c r="Q20" s="87"/>
      <c r="R20" s="90"/>
      <c r="S20" s="87"/>
    </row>
    <row r="21" spans="1:25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91"/>
      <c r="O21" s="91"/>
      <c r="P21" s="91"/>
      <c r="Q21" s="91"/>
      <c r="R21" s="92"/>
      <c r="S21" s="91"/>
    </row>
    <row r="22" spans="1:25" ht="11.2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1"/>
      <c r="O22" s="91"/>
      <c r="P22" s="91"/>
      <c r="Q22" s="91"/>
      <c r="R22" s="92"/>
      <c r="S22" s="91"/>
    </row>
    <row r="23" spans="1:25" ht="9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91"/>
      <c r="O23" s="91"/>
      <c r="P23" s="91"/>
      <c r="Q23" s="54"/>
      <c r="R23" s="93"/>
      <c r="S23" s="91"/>
    </row>
    <row r="24" spans="1:25" ht="13.5" x14ac:dyDescent="0.25">
      <c r="A24" s="54"/>
      <c r="B24" s="94"/>
      <c r="C24" s="95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96"/>
      <c r="O24" s="96"/>
      <c r="P24" s="175" t="s">
        <v>19</v>
      </c>
      <c r="Q24" s="176">
        <f ca="1">TODAY()</f>
        <v>44548</v>
      </c>
      <c r="R24" s="177">
        <f ca="1">NOW()</f>
        <v>44548.522529282411</v>
      </c>
      <c r="S24" s="97"/>
    </row>
    <row r="25" spans="1:25" ht="12.75" hidden="1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9"/>
      <c r="O25" s="99"/>
      <c r="P25" s="99"/>
      <c r="Q25" s="100">
        <f ca="1">HOUR(R24)</f>
        <v>12</v>
      </c>
      <c r="R25" s="100">
        <f ca="1">MINUTE(R24)</f>
        <v>32</v>
      </c>
      <c r="S25" s="101"/>
      <c r="T25" s="5"/>
      <c r="U25" s="5"/>
    </row>
    <row r="26" spans="1:25" ht="12.75" hidden="1" customHeight="1" x14ac:dyDescent="0.2">
      <c r="A26" s="54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9"/>
      <c r="O26" s="99"/>
      <c r="P26" s="98"/>
      <c r="Q26" s="100"/>
      <c r="R26" s="102">
        <f ca="1">TIME(Q25,R25,0)</f>
        <v>0.52222222222222225</v>
      </c>
      <c r="S26" s="101"/>
      <c r="T26" s="5"/>
      <c r="U26" s="5"/>
    </row>
    <row r="27" spans="1: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91"/>
      <c r="O27" s="91"/>
      <c r="P27" s="91"/>
      <c r="Q27" s="97"/>
      <c r="R27" s="97"/>
      <c r="S27" s="97"/>
    </row>
    <row r="28" spans="1:25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91"/>
      <c r="P28" s="91"/>
      <c r="Q28" s="323" t="s">
        <v>31</v>
      </c>
      <c r="R28" s="324"/>
      <c r="S28" s="97"/>
    </row>
    <row r="29" spans="1:25" x14ac:dyDescent="0.2">
      <c r="A29" s="54"/>
      <c r="B29" s="178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91"/>
      <c r="O29" s="91"/>
      <c r="P29" s="91"/>
      <c r="Q29" s="97"/>
      <c r="R29" s="97"/>
      <c r="S29" s="97"/>
    </row>
    <row r="30" spans="1:25" x14ac:dyDescent="0.2">
      <c r="A30" s="54"/>
      <c r="B30" s="104" t="s">
        <v>78</v>
      </c>
      <c r="C30" s="59" t="s">
        <v>55</v>
      </c>
      <c r="D30" s="59" t="s">
        <v>57</v>
      </c>
      <c r="E30" s="59" t="s">
        <v>56</v>
      </c>
      <c r="F30" s="58"/>
      <c r="G30" s="59" t="s">
        <v>79</v>
      </c>
      <c r="H30" s="325" t="s">
        <v>13</v>
      </c>
      <c r="I30" s="325"/>
      <c r="J30" s="326" t="s">
        <v>32</v>
      </c>
      <c r="K30" s="326"/>
      <c r="L30" s="326" t="s">
        <v>83</v>
      </c>
      <c r="M30" s="326"/>
      <c r="N30" s="327" t="s">
        <v>80</v>
      </c>
      <c r="O30" s="327"/>
      <c r="P30" s="54"/>
      <c r="Q30" s="54"/>
      <c r="R30" s="54"/>
      <c r="S30" s="54"/>
    </row>
    <row r="31" spans="1:25" x14ac:dyDescent="0.2">
      <c r="A31" s="54"/>
      <c r="B31" s="173"/>
      <c r="C31" s="62"/>
      <c r="D31" s="62"/>
      <c r="E31" s="62" t="s">
        <v>4</v>
      </c>
      <c r="F31" s="174"/>
      <c r="G31" s="64"/>
      <c r="H31" s="318"/>
      <c r="I31" s="318"/>
      <c r="J31" s="317"/>
      <c r="K31" s="317"/>
      <c r="L31" s="320"/>
      <c r="M31" s="320"/>
      <c r="N31" s="329"/>
      <c r="O31" s="330"/>
      <c r="P31" s="331"/>
      <c r="Q31" s="331"/>
      <c r="R31" s="331"/>
      <c r="S31" s="331"/>
      <c r="T31" s="332"/>
    </row>
    <row r="32" spans="1:25" x14ac:dyDescent="0.2">
      <c r="A32" s="54"/>
      <c r="B32" s="61"/>
      <c r="C32" s="62"/>
      <c r="D32" s="62"/>
      <c r="E32" s="62" t="s">
        <v>4</v>
      </c>
      <c r="F32" s="63"/>
      <c r="G32" s="64"/>
      <c r="H32" s="318"/>
      <c r="I32" s="318"/>
      <c r="J32" s="317"/>
      <c r="K32" s="317"/>
      <c r="L32" s="110"/>
      <c r="M32" s="110"/>
      <c r="N32" s="329"/>
      <c r="O32" s="330"/>
      <c r="P32" s="331"/>
      <c r="Q32" s="331"/>
      <c r="R32" s="331"/>
      <c r="S32" s="331"/>
      <c r="T32" s="332"/>
    </row>
    <row r="33" spans="1:19" x14ac:dyDescent="0.2">
      <c r="A33" s="54"/>
      <c r="B33" s="61"/>
      <c r="C33" s="62"/>
      <c r="D33" s="62"/>
      <c r="E33" s="62" t="s">
        <v>4</v>
      </c>
      <c r="F33" s="63"/>
      <c r="G33" s="64"/>
      <c r="H33" s="318"/>
      <c r="I33" s="318"/>
      <c r="J33" s="317"/>
      <c r="K33" s="317"/>
      <c r="L33" s="110"/>
      <c r="M33" s="110"/>
      <c r="N33" s="329"/>
      <c r="O33" s="330"/>
      <c r="P33" s="54"/>
      <c r="Q33" s="54"/>
      <c r="R33" s="54"/>
      <c r="S33" s="54"/>
    </row>
    <row r="34" spans="1:19" x14ac:dyDescent="0.2">
      <c r="A34" s="54"/>
      <c r="B34" s="61"/>
      <c r="C34" s="62"/>
      <c r="D34" s="62"/>
      <c r="E34" s="62" t="s">
        <v>4</v>
      </c>
      <c r="F34" s="63"/>
      <c r="G34" s="64"/>
      <c r="H34" s="318"/>
      <c r="I34" s="318"/>
      <c r="J34" s="317"/>
      <c r="K34" s="317"/>
      <c r="L34" s="110"/>
      <c r="M34" s="110"/>
      <c r="N34" s="54"/>
      <c r="O34" s="54"/>
      <c r="P34" s="54"/>
      <c r="Q34" s="54"/>
      <c r="R34" s="54"/>
      <c r="S34" s="54"/>
    </row>
    <row r="35" spans="1:19" x14ac:dyDescent="0.2"/>
    <row r="36" spans="1:19" x14ac:dyDescent="0.2"/>
    <row r="37" spans="1:19" x14ac:dyDescent="0.2"/>
    <row r="38" spans="1:19" x14ac:dyDescent="0.2"/>
    <row r="39" spans="1:19" x14ac:dyDescent="0.2"/>
  </sheetData>
  <sheetProtection sheet="1" objects="1" scenarios="1"/>
  <dataConsolidate/>
  <mergeCells count="52">
    <mergeCell ref="H8:I8"/>
    <mergeCell ref="L8:M8"/>
    <mergeCell ref="T1:T2"/>
    <mergeCell ref="H5:I5"/>
    <mergeCell ref="J5:K5"/>
    <mergeCell ref="P4:S5"/>
    <mergeCell ref="H7:I7"/>
    <mergeCell ref="N8:O8"/>
    <mergeCell ref="B4:M4"/>
    <mergeCell ref="A1:S2"/>
    <mergeCell ref="Q7:R7"/>
    <mergeCell ref="L6:M6"/>
    <mergeCell ref="H6:I6"/>
    <mergeCell ref="J6:K6"/>
    <mergeCell ref="N6:O6"/>
    <mergeCell ref="L5:O5"/>
    <mergeCell ref="H32:I32"/>
    <mergeCell ref="J32:K32"/>
    <mergeCell ref="J9:K9"/>
    <mergeCell ref="J11:K11"/>
    <mergeCell ref="J10:K10"/>
    <mergeCell ref="H9:I9"/>
    <mergeCell ref="H31:I31"/>
    <mergeCell ref="J31:K31"/>
    <mergeCell ref="G15:O15"/>
    <mergeCell ref="H30:I30"/>
    <mergeCell ref="J30:K30"/>
    <mergeCell ref="L31:M31"/>
    <mergeCell ref="N31:T31"/>
    <mergeCell ref="H10:I10"/>
    <mergeCell ref="H11:I11"/>
    <mergeCell ref="N32:T32"/>
    <mergeCell ref="J7:K7"/>
    <mergeCell ref="N7:O7"/>
    <mergeCell ref="L7:M7"/>
    <mergeCell ref="L10:M10"/>
    <mergeCell ref="L9:M9"/>
    <mergeCell ref="L30:O30"/>
    <mergeCell ref="L11:M11"/>
    <mergeCell ref="N9:O9"/>
    <mergeCell ref="N10:O10"/>
    <mergeCell ref="N11:O11"/>
    <mergeCell ref="Q28:R28"/>
    <mergeCell ref="Q9:R9"/>
    <mergeCell ref="J8:K8"/>
    <mergeCell ref="Q11:R11"/>
    <mergeCell ref="Q13:R13"/>
    <mergeCell ref="H33:I33"/>
    <mergeCell ref="J33:K33"/>
    <mergeCell ref="N33:O33"/>
    <mergeCell ref="H34:I34"/>
    <mergeCell ref="J34:K34"/>
  </mergeCells>
  <phoneticPr fontId="26" type="noConversion"/>
  <conditionalFormatting sqref="F17:F18">
    <cfRule type="expression" dxfId="51" priority="23" stopIfTrue="1">
      <formula>IF(AND($H$17=3,$H$18=3,$H$19=3,$H$20=3),1,0)</formula>
    </cfRule>
  </conditionalFormatting>
  <conditionalFormatting sqref="G17:O18">
    <cfRule type="expression" dxfId="50" priority="24" stopIfTrue="1">
      <formula>IF(AND($H$17=3,$H$18=3,$H$19=3,$H$20=3),1,0)</formula>
    </cfRule>
  </conditionalFormatting>
  <conditionalFormatting sqref="B7">
    <cfRule type="expression" dxfId="49" priority="25" stopIfTrue="1">
      <formula>IF(OR($L$7="en juego",$L$7="hoy!"),1,0)</formula>
    </cfRule>
  </conditionalFormatting>
  <conditionalFormatting sqref="B6 L6:M6 C6:E11 C32:E34">
    <cfRule type="expression" dxfId="48" priority="26" stopIfTrue="1">
      <formula>IF(OR($L$6="en juego",$L$6="hoy!"),1,0)</formula>
    </cfRule>
  </conditionalFormatting>
  <conditionalFormatting sqref="B8 L8:M9 L32:M34 B32:B34">
    <cfRule type="expression" dxfId="47" priority="27" stopIfTrue="1">
      <formula>IF(OR($L$8="en juego",$L$8="hoy!"),1,0)</formula>
    </cfRule>
  </conditionalFormatting>
  <conditionalFormatting sqref="F9 B9">
    <cfRule type="expression" dxfId="46" priority="28" stopIfTrue="1">
      <formula>IF(OR($L$9="en juego",$L$9="hoy!"),1,0)</formula>
    </cfRule>
  </conditionalFormatting>
  <conditionalFormatting sqref="L10:M10 B10">
    <cfRule type="expression" dxfId="45" priority="29" stopIfTrue="1">
      <formula>IF(OR($L$10="en juego",$L$10="hoy!"),1,0)</formula>
    </cfRule>
  </conditionalFormatting>
  <conditionalFormatting sqref="L11:M11 B11">
    <cfRule type="expression" dxfId="44" priority="30" stopIfTrue="1">
      <formula>IF(OR($L$11="en juego",$L$11="hoy!"),1,0)</formula>
    </cfRule>
  </conditionalFormatting>
  <conditionalFormatting sqref="F6">
    <cfRule type="expression" dxfId="43" priority="39" stopIfTrue="1">
      <formula>IF(OR($L$6="en juego",$L$6="hoy!"),1,0)</formula>
    </cfRule>
  </conditionalFormatting>
  <conditionalFormatting sqref="F9">
    <cfRule type="expression" dxfId="42" priority="40" stopIfTrue="1">
      <formula>IF(OR($L$9="en juego",$L$9="hoy!"),1,0)</formula>
    </cfRule>
  </conditionalFormatting>
  <conditionalFormatting sqref="F7 L7:M7">
    <cfRule type="expression" dxfId="41" priority="41" stopIfTrue="1">
      <formula>IF(OR($L$7="en juego",$L$7="hoy!"),1,0)</formula>
    </cfRule>
  </conditionalFormatting>
  <conditionalFormatting sqref="F8 J32:J34 F32:H34">
    <cfRule type="expression" dxfId="40" priority="42" stopIfTrue="1">
      <formula>IF(OR($L$8="en juego",$L$8="hoy!"),1,0)</formula>
    </cfRule>
  </conditionalFormatting>
  <conditionalFormatting sqref="F10">
    <cfRule type="expression" dxfId="39" priority="43" stopIfTrue="1">
      <formula>IF(OR($L$10="en juego",$L$10="hoy!"),1,0)</formula>
    </cfRule>
  </conditionalFormatting>
  <conditionalFormatting sqref="F11">
    <cfRule type="expression" dxfId="38" priority="44" stopIfTrue="1">
      <formula>IF(OR($L$11="en juego",$L$11="hoy!"),1,0)</formula>
    </cfRule>
  </conditionalFormatting>
  <conditionalFormatting sqref="H6:I8 H11:I11">
    <cfRule type="expression" dxfId="37" priority="45" stopIfTrue="1">
      <formula>IF(OR(L6="en juego",L6="hoy!"),1,0)</formula>
    </cfRule>
  </conditionalFormatting>
  <conditionalFormatting sqref="J6:K8 J10:K11">
    <cfRule type="expression" dxfId="36" priority="46" stopIfTrue="1">
      <formula>IF(OR(L6="en juego",L6="hoy!"),1,0)</formula>
    </cfRule>
  </conditionalFormatting>
  <conditionalFormatting sqref="N31:O33">
    <cfRule type="expression" dxfId="35" priority="47" stopIfTrue="1">
      <formula>IF(OR(L31="en juego",L31="hoy!"),1,0)</formula>
    </cfRule>
  </conditionalFormatting>
  <conditionalFormatting sqref="G31 C31:E31">
    <cfRule type="expression" dxfId="34" priority="10" stopIfTrue="1">
      <formula>IF(OR($L$6="en juego",$L$6="hoy!"),1,0)</formula>
    </cfRule>
  </conditionalFormatting>
  <conditionalFormatting sqref="F31 B31">
    <cfRule type="expression" dxfId="33" priority="11" stopIfTrue="1">
      <formula>IF(OR($L$9="en juego",$L$9="hoy!"),1,0)</formula>
    </cfRule>
  </conditionalFormatting>
  <conditionalFormatting sqref="F31">
    <cfRule type="expression" dxfId="32" priority="12" stopIfTrue="1">
      <formula>IF(OR($L$9="en juego",$L$9="hoy!"),1,0)</formula>
    </cfRule>
  </conditionalFormatting>
  <conditionalFormatting sqref="H31:I31">
    <cfRule type="expression" dxfId="31" priority="13" stopIfTrue="1">
      <formula>IF(OR(L31="en juego",L31="hoy!"),1,0)</formula>
    </cfRule>
  </conditionalFormatting>
  <conditionalFormatting sqref="J31:K31">
    <cfRule type="expression" dxfId="30" priority="14" stopIfTrue="1">
      <formula>IF(OR(L31="en juego",L31="hoy!"),1,0)</formula>
    </cfRule>
  </conditionalFormatting>
  <conditionalFormatting sqref="L31:M31">
    <cfRule type="expression" dxfId="29" priority="9" stopIfTrue="1">
      <formula>IF(OR($L$6="en juego",$L$6="hoy!"),1,0)</formula>
    </cfRule>
  </conditionalFormatting>
  <conditionalFormatting sqref="H9:I9">
    <cfRule type="expression" dxfId="28" priority="7" stopIfTrue="1">
      <formula>IF(OR(L9="en juego",L9="hoy!"),1,0)</formula>
    </cfRule>
  </conditionalFormatting>
  <conditionalFormatting sqref="J9:K9">
    <cfRule type="expression" dxfId="27" priority="8" stopIfTrue="1">
      <formula>IF(OR(L9="en juego",L9="hoy!"),1,0)</formula>
    </cfRule>
  </conditionalFormatting>
  <conditionalFormatting sqref="H10">
    <cfRule type="expression" dxfId="26" priority="6" stopIfTrue="1">
      <formula>IF(OR($L$8="en juego",$L$8="hoy!"),1,0)</formula>
    </cfRule>
  </conditionalFormatting>
  <conditionalFormatting sqref="G6:G7">
    <cfRule type="expression" dxfId="25" priority="1" stopIfTrue="1">
      <formula>IF(OR($L$6="en juego",$L$6="hoy!"),1,0)</formula>
    </cfRule>
  </conditionalFormatting>
  <conditionalFormatting sqref="G6">
    <cfRule type="expression" dxfId="24" priority="2" stopIfTrue="1">
      <formula>IF(OR($L$8="en juego",$L$8="hoy!"),1,0)</formula>
    </cfRule>
  </conditionalFormatting>
  <conditionalFormatting sqref="G9:G10">
    <cfRule type="expression" dxfId="23" priority="3" stopIfTrue="1">
      <formula>IF(OR($L$9="en juego",$L$9="hoy!"),1,0)</formula>
    </cfRule>
  </conditionalFormatting>
  <conditionalFormatting sqref="G8">
    <cfRule type="expression" dxfId="22" priority="4" stopIfTrue="1">
      <formula>IF(OR($L$8="en juego",$L$8="hoy!"),1,0)</formula>
    </cfRule>
  </conditionalFormatting>
  <conditionalFormatting sqref="G11">
    <cfRule type="expression" dxfId="21" priority="5" stopIfTrue="1">
      <formula>IF(OR($L$11="en juego",$L$11="hoy!"),1,0)</formula>
    </cfRule>
  </conditionalFormatting>
  <dataValidations count="1">
    <dataValidation type="list" allowBlank="1" showErrorMessage="1" errorTitle="Dato no válido" error="Ingrese sólo un número entero_x000a_entre 0 y 99." sqref="C6:E11 C31:E34">
      <formula1>$X$4:$X$18</formula1>
    </dataValidation>
  </dataValidations>
  <hyperlinks>
    <hyperlink ref="Q28:R28" location="Menu!A1" display="Menu Principal"/>
  </hyperlinks>
  <pageMargins left="0.75" right="0.75" top="1" bottom="1" header="0" footer="0"/>
  <pageSetup paperSize="9" scale="74" orientation="landscape" horizontalDpi="300" verticalDpi="300" r:id="rId1"/>
  <headerFooter alignWithMargins="0"/>
  <ignoredErrors>
    <ignoredError sqref="B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X689"/>
  <sheetViews>
    <sheetView showGridLines="0" showRowColHeaders="0" zoomScale="110" zoomScaleNormal="110" workbookViewId="0">
      <selection activeCell="O4" sqref="O4:Q4"/>
    </sheetView>
  </sheetViews>
  <sheetFormatPr baseColWidth="10" defaultColWidth="0" defaultRowHeight="12.75" zeroHeight="1" x14ac:dyDescent="0.2"/>
  <cols>
    <col min="1" max="1" width="2.140625" style="7" customWidth="1"/>
    <col min="2" max="2" width="14.7109375" style="7" customWidth="1"/>
    <col min="3" max="4" width="6.7109375" style="7" customWidth="1"/>
    <col min="5" max="5" width="15.7109375" style="7" customWidth="1"/>
    <col min="6" max="8" width="3.7109375" style="7" customWidth="1"/>
    <col min="9" max="9" width="11.7109375" style="7" customWidth="1"/>
    <col min="10" max="10" width="15.7109375" style="7" customWidth="1"/>
    <col min="11" max="11" width="3.7109375" style="7" customWidth="1"/>
    <col min="12" max="12" width="7.7109375" style="7" bestFit="1" customWidth="1"/>
    <col min="13" max="13" width="15.5703125" style="7" customWidth="1"/>
    <col min="14" max="21" width="5.7109375" style="7" customWidth="1"/>
    <col min="22" max="23" width="7.140625" style="7" customWidth="1"/>
    <col min="24" max="24" width="1.7109375" style="7" customWidth="1"/>
    <col min="25" max="16384" width="0" style="7" hidden="1"/>
  </cols>
  <sheetData>
    <row r="1" spans="1:24" s="10" customFormat="1" ht="34.5" customHeight="1" x14ac:dyDescent="0.2">
      <c r="A1" s="333" t="s">
        <v>116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168"/>
      <c r="Q1" s="168"/>
      <c r="R1" s="168"/>
      <c r="S1" s="168"/>
      <c r="T1" s="168"/>
      <c r="U1" s="168"/>
      <c r="V1" s="169"/>
      <c r="W1" s="169"/>
      <c r="X1" s="170"/>
    </row>
    <row r="2" spans="1:24" s="10" customFormat="1" ht="34.5" customHeight="1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168"/>
      <c r="Q2" s="168"/>
      <c r="R2" s="168"/>
      <c r="S2" s="168"/>
      <c r="T2" s="168"/>
      <c r="U2" s="168"/>
      <c r="V2" s="169"/>
      <c r="W2" s="169"/>
      <c r="X2" s="170"/>
    </row>
    <row r="3" spans="1:24" ht="20.100000000000001" customHeight="1" x14ac:dyDescent="0.2">
      <c r="A3" s="66"/>
      <c r="B3" s="66"/>
      <c r="C3" s="66"/>
      <c r="D3" s="66"/>
      <c r="E3" s="88"/>
      <c r="F3" s="67"/>
      <c r="G3" s="66"/>
      <c r="H3" s="66"/>
      <c r="I3" s="66"/>
      <c r="J3" s="66"/>
      <c r="K3" s="66"/>
      <c r="L3" s="111"/>
      <c r="M3" s="112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4" ht="15" customHeight="1" x14ac:dyDescent="0.2">
      <c r="A4" s="66"/>
      <c r="B4" s="66"/>
      <c r="C4" s="66"/>
      <c r="D4" s="66"/>
      <c r="E4" s="113"/>
      <c r="F4" s="112"/>
      <c r="G4" s="66"/>
      <c r="H4" s="66"/>
      <c r="I4" s="66"/>
      <c r="J4" s="66"/>
      <c r="K4" s="66"/>
      <c r="L4" s="114">
        <f ca="1">TODAY()</f>
        <v>44548</v>
      </c>
      <c r="M4" s="115">
        <f ca="1">NOW()</f>
        <v>44548.522529282411</v>
      </c>
      <c r="N4" s="66"/>
      <c r="O4" s="344" t="s">
        <v>31</v>
      </c>
      <c r="P4" s="345"/>
      <c r="Q4" s="346"/>
      <c r="R4" s="66"/>
      <c r="S4" s="66"/>
      <c r="T4" s="66"/>
      <c r="U4" s="66"/>
      <c r="V4" s="66"/>
      <c r="W4" s="66"/>
    </row>
    <row r="5" spans="1:24" ht="12" customHeight="1" x14ac:dyDescent="0.25">
      <c r="A5" s="66"/>
      <c r="B5" s="341" t="s">
        <v>69</v>
      </c>
      <c r="C5" s="341"/>
      <c r="D5" s="341"/>
      <c r="E5" s="341" t="s">
        <v>23</v>
      </c>
      <c r="F5" s="342"/>
      <c r="G5" s="343" t="s">
        <v>68</v>
      </c>
      <c r="H5" s="342"/>
      <c r="I5" s="117"/>
      <c r="J5" s="116" t="s">
        <v>24</v>
      </c>
      <c r="K5" s="116"/>
      <c r="L5" s="118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4" ht="32.1" customHeight="1" x14ac:dyDescent="0.2">
      <c r="A6" s="119"/>
      <c r="B6" s="120"/>
      <c r="C6" s="120"/>
      <c r="D6" s="120"/>
      <c r="E6" s="121"/>
      <c r="F6" s="122">
        <v>1</v>
      </c>
      <c r="G6" s="122">
        <v>2</v>
      </c>
      <c r="H6" s="122">
        <v>3</v>
      </c>
      <c r="I6" s="121"/>
      <c r="J6" s="242"/>
      <c r="K6" s="66"/>
      <c r="L6" s="66"/>
      <c r="M6" s="123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4" ht="15" customHeight="1" x14ac:dyDescent="0.2">
      <c r="A7" s="119"/>
      <c r="B7" s="120"/>
      <c r="C7" s="120"/>
      <c r="D7" s="120"/>
      <c r="E7" s="124" t="str">
        <f>IF(AND('- A -'!H17=3,'- A -'!H18=3),'- A -'!G17,"1ero Grupo A")</f>
        <v>Sergio Soriano</v>
      </c>
      <c r="F7" s="183">
        <v>7</v>
      </c>
      <c r="G7" s="183">
        <v>6</v>
      </c>
      <c r="H7" s="183"/>
      <c r="I7" s="121"/>
      <c r="J7" s="12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4" ht="15" customHeight="1" x14ac:dyDescent="0.2">
      <c r="A8" s="126">
        <v>1</v>
      </c>
      <c r="B8" s="127"/>
      <c r="C8" s="128"/>
      <c r="D8" s="129"/>
      <c r="E8" s="182" t="s">
        <v>84</v>
      </c>
      <c r="F8" s="184"/>
      <c r="G8" s="184"/>
      <c r="H8" s="185"/>
      <c r="I8" s="130"/>
      <c r="J8" s="351" t="str">
        <f>IF(AND(F7&lt;&gt;"",F9&lt;&gt;""),IF(OR(AND(F7&gt;F9,G7&gt;G9),AND(F7&gt;F9,H7&gt;H9),AND(G7&gt;G9,H7&gt;H9)),E7,IF(OR(AND(F7&lt;F9,G7&lt;G9),AND(F7&lt;F9,H7&lt;H9),AND(G7&lt;G9,H7&lt;H9)),E9,IF(F7&gt;F9,IF(G7&lt;&gt;"","SF1",E7),IF(G7&gt;G9,"SF1",E9)))),"SF1")</f>
        <v>Sergio Soriano</v>
      </c>
      <c r="K8" s="352"/>
      <c r="L8" s="66"/>
      <c r="M8" s="319" t="s">
        <v>101</v>
      </c>
      <c r="N8" s="319"/>
      <c r="O8" s="319"/>
      <c r="P8" s="319"/>
      <c r="Q8" s="319"/>
      <c r="R8" s="319"/>
      <c r="S8" s="319"/>
      <c r="T8" s="319"/>
      <c r="U8" s="319"/>
      <c r="V8" s="319"/>
      <c r="W8" s="319"/>
    </row>
    <row r="9" spans="1:24" ht="15" customHeight="1" x14ac:dyDescent="0.2">
      <c r="A9" s="119"/>
      <c r="B9" s="347" t="s">
        <v>106</v>
      </c>
      <c r="C9" s="348"/>
      <c r="D9" s="120"/>
      <c r="E9" s="124" t="str">
        <f>IF(AND('- B -'!H18=3,'- B -'!H17=3),'- B -'!G18,"2do Grupo B")</f>
        <v>Isma Barrionuevo</v>
      </c>
      <c r="F9" s="183">
        <v>6</v>
      </c>
      <c r="G9" s="183">
        <v>2</v>
      </c>
      <c r="H9" s="183"/>
      <c r="I9" s="121"/>
      <c r="J9" s="121"/>
      <c r="K9" s="4"/>
      <c r="L9" s="66"/>
      <c r="M9" s="80"/>
      <c r="N9" s="81" t="s">
        <v>15</v>
      </c>
      <c r="O9" s="81" t="s">
        <v>16</v>
      </c>
      <c r="P9" s="81" t="s">
        <v>17</v>
      </c>
      <c r="Q9" s="81" t="s">
        <v>60</v>
      </c>
      <c r="R9" s="81" t="s">
        <v>61</v>
      </c>
      <c r="S9" s="81" t="s">
        <v>65</v>
      </c>
      <c r="T9" s="81" t="s">
        <v>64</v>
      </c>
      <c r="U9" s="81" t="s">
        <v>18</v>
      </c>
      <c r="V9" s="81" t="s">
        <v>77</v>
      </c>
      <c r="W9" s="81" t="s">
        <v>76</v>
      </c>
    </row>
    <row r="10" spans="1:24" ht="32.1" customHeight="1" x14ac:dyDescent="0.2">
      <c r="A10" s="119"/>
      <c r="B10" s="131"/>
      <c r="C10" s="120"/>
      <c r="D10" s="120"/>
      <c r="E10" s="132"/>
      <c r="F10" s="122">
        <v>1</v>
      </c>
      <c r="G10" s="122">
        <v>2</v>
      </c>
      <c r="H10" s="122">
        <v>3</v>
      </c>
      <c r="I10" s="121"/>
      <c r="J10" s="121"/>
      <c r="K10" s="66"/>
      <c r="L10" s="66"/>
      <c r="M10" s="133" t="str">
        <f>'cálculo A+B'!F52</f>
        <v>Javier Cabello</v>
      </c>
      <c r="N10" s="84">
        <f>'cálculo A+B'!G52</f>
        <v>3</v>
      </c>
      <c r="O10" s="84">
        <f>'cálculo A+B'!H52</f>
        <v>3</v>
      </c>
      <c r="P10" s="84">
        <f>'cálculo A+B'!I52</f>
        <v>0</v>
      </c>
      <c r="Q10" s="84">
        <f>'cálculo A+B'!J52</f>
        <v>6</v>
      </c>
      <c r="R10" s="84">
        <f>'cálculo A+B'!K52</f>
        <v>0</v>
      </c>
      <c r="S10" s="84">
        <f>Q10-R10</f>
        <v>6</v>
      </c>
      <c r="T10" s="84">
        <f>'cálculo A+B'!L52</f>
        <v>18</v>
      </c>
      <c r="U10" s="84">
        <f>'cálculo A+B'!M52</f>
        <v>3</v>
      </c>
      <c r="V10" s="134">
        <v>1</v>
      </c>
      <c r="W10" s="134"/>
    </row>
    <row r="11" spans="1:24" ht="15" customHeight="1" x14ac:dyDescent="0.2">
      <c r="A11" s="119"/>
      <c r="B11" s="131"/>
      <c r="C11" s="120"/>
      <c r="D11" s="120"/>
      <c r="E11" s="124" t="str">
        <f>IF(AND('- B -'!H17=3,'- B -'!H18=3),'- B -'!G17,"1ero Grupo B")</f>
        <v>Javier Cabello</v>
      </c>
      <c r="F11" s="183">
        <v>5</v>
      </c>
      <c r="G11" s="183">
        <v>7</v>
      </c>
      <c r="H11" s="183">
        <v>6</v>
      </c>
      <c r="I11" s="242"/>
      <c r="J11" s="242"/>
      <c r="K11" s="66"/>
      <c r="L11" s="66"/>
      <c r="M11" s="133" t="str">
        <f>'cálculo A+B'!F53</f>
        <v>Sergio Soriano</v>
      </c>
      <c r="N11" s="84">
        <f>'cálculo A+B'!G53</f>
        <v>3</v>
      </c>
      <c r="O11" s="84">
        <f>'cálculo A+B'!H53</f>
        <v>3</v>
      </c>
      <c r="P11" s="84">
        <f>'cálculo A+B'!I53</f>
        <v>0</v>
      </c>
      <c r="Q11" s="84">
        <f>'cálculo A+B'!J53</f>
        <v>6</v>
      </c>
      <c r="R11" s="84">
        <f>'cálculo A+B'!K53</f>
        <v>1</v>
      </c>
      <c r="S11" s="84">
        <f t="shared" ref="S11:S17" si="0">Q11-R11</f>
        <v>5</v>
      </c>
      <c r="T11" s="84">
        <f>'cálculo A+B'!L53</f>
        <v>22.009999999999998</v>
      </c>
      <c r="U11" s="84">
        <f>'cálculo A+B'!M53</f>
        <v>3</v>
      </c>
      <c r="V11" s="134">
        <v>2</v>
      </c>
      <c r="W11" s="134"/>
    </row>
    <row r="12" spans="1:24" ht="15" customHeight="1" x14ac:dyDescent="0.2">
      <c r="A12" s="126">
        <v>2</v>
      </c>
      <c r="B12" s="127" t="s">
        <v>172</v>
      </c>
      <c r="C12" s="128">
        <v>44527</v>
      </c>
      <c r="D12" s="129">
        <v>0.6875</v>
      </c>
      <c r="E12" s="182" t="s">
        <v>84</v>
      </c>
      <c r="F12" s="184"/>
      <c r="G12" s="184"/>
      <c r="H12" s="185"/>
      <c r="I12" s="130"/>
      <c r="J12" s="351" t="str">
        <f>IF(AND(F11&lt;&gt;"",F13&lt;&gt;""),IF(OR(AND(F11&gt;F13,G11&gt;G13),AND(F11&gt;F13,H11&gt;H13),AND(G11&gt;G13,H11&gt;H13)),E11,IF(OR(AND(F11&lt;F13,G11&lt;G13),AND(F11&lt;F13,H11&lt;H13),AND(G11&lt;G13,H11&lt;H13)),E13,IF(F11&gt;F13,IF(G11&lt;&gt;"","SF2",E11),IF(G11&gt;G13,"SF2",E13)))),"SF2")</f>
        <v>Javier Cabello</v>
      </c>
      <c r="K12" s="352"/>
      <c r="L12" s="66"/>
      <c r="M12" s="133" t="str">
        <f>'cálculo A+B'!F54</f>
        <v>José de Castro</v>
      </c>
      <c r="N12" s="84">
        <f>'cálculo A+B'!G54</f>
        <v>3</v>
      </c>
      <c r="O12" s="84">
        <f>'cálculo A+B'!H54</f>
        <v>2</v>
      </c>
      <c r="P12" s="84">
        <f>'cálculo A+B'!I54</f>
        <v>1</v>
      </c>
      <c r="Q12" s="84">
        <f>'cálculo A+B'!J54</f>
        <v>5</v>
      </c>
      <c r="R12" s="84">
        <f>'cálculo A+B'!K54</f>
        <v>2</v>
      </c>
      <c r="S12" s="84">
        <f t="shared" si="0"/>
        <v>3</v>
      </c>
      <c r="T12" s="84">
        <f>'cálculo A+B'!L54</f>
        <v>16.990000000000002</v>
      </c>
      <c r="U12" s="84">
        <f>'cálculo A+B'!M54</f>
        <v>2</v>
      </c>
      <c r="V12" s="134">
        <v>3</v>
      </c>
      <c r="W12" s="134"/>
    </row>
    <row r="13" spans="1:24" ht="15" customHeight="1" x14ac:dyDescent="0.2">
      <c r="A13" s="119"/>
      <c r="B13" s="347" t="s">
        <v>106</v>
      </c>
      <c r="C13" s="348"/>
      <c r="D13" s="120"/>
      <c r="E13" s="124" t="str">
        <f>IF(AND('- A -'!H18=3,'- A -'!H17=3),'- A -'!G18,"2do Grupo A")</f>
        <v>José de Castro</v>
      </c>
      <c r="F13" s="183">
        <v>7</v>
      </c>
      <c r="G13" s="183">
        <v>5</v>
      </c>
      <c r="H13" s="183">
        <v>4</v>
      </c>
      <c r="I13" s="121"/>
      <c r="J13" s="121"/>
      <c r="K13" s="66"/>
      <c r="L13" s="66"/>
      <c r="M13" s="133" t="str">
        <f>'cálculo A+B'!F55</f>
        <v>Isma Barrionuevo</v>
      </c>
      <c r="N13" s="84">
        <f>'cálculo A+B'!G55</f>
        <v>3</v>
      </c>
      <c r="O13" s="84">
        <f>'cálculo A+B'!H55</f>
        <v>2</v>
      </c>
      <c r="P13" s="84">
        <f>'cálculo A+B'!I55</f>
        <v>1</v>
      </c>
      <c r="Q13" s="84">
        <f>'cálculo A+B'!J55</f>
        <v>4</v>
      </c>
      <c r="R13" s="84">
        <f>'cálculo A+B'!K55</f>
        <v>3</v>
      </c>
      <c r="S13" s="84">
        <f t="shared" si="0"/>
        <v>1</v>
      </c>
      <c r="T13" s="84">
        <f>'cálculo A+B'!L55</f>
        <v>4</v>
      </c>
      <c r="U13" s="84">
        <f>'cálculo A+B'!M55</f>
        <v>2</v>
      </c>
      <c r="V13" s="134">
        <v>5</v>
      </c>
      <c r="W13" s="134"/>
    </row>
    <row r="14" spans="1:24" ht="15" customHeight="1" x14ac:dyDescent="0.2">
      <c r="A14" s="135"/>
      <c r="B14" s="121"/>
      <c r="C14" s="121"/>
      <c r="D14" s="121"/>
      <c r="E14" s="121"/>
      <c r="F14" s="121"/>
      <c r="G14" s="121"/>
      <c r="H14" s="121"/>
      <c r="I14" s="121"/>
      <c r="J14" s="121"/>
      <c r="K14" s="66"/>
      <c r="L14" s="66"/>
      <c r="M14" s="84" t="str">
        <f>'cálculo A+B'!F56</f>
        <v>Fernando Sanz</v>
      </c>
      <c r="N14" s="84">
        <f>'cálculo A+B'!G56</f>
        <v>3</v>
      </c>
      <c r="O14" s="84">
        <f>'cálculo A+B'!H56</f>
        <v>1</v>
      </c>
      <c r="P14" s="84">
        <f>'cálculo A+B'!I56</f>
        <v>2</v>
      </c>
      <c r="Q14" s="84">
        <f>'cálculo A+B'!J56</f>
        <v>3</v>
      </c>
      <c r="R14" s="84">
        <f>'cálculo A+B'!K56</f>
        <v>5</v>
      </c>
      <c r="S14" s="84">
        <f t="shared" si="0"/>
        <v>-2</v>
      </c>
      <c r="T14" s="84">
        <f>'cálculo A+B'!L56</f>
        <v>-11.99</v>
      </c>
      <c r="U14" s="84">
        <f>'cálculo A+B'!M56</f>
        <v>1</v>
      </c>
      <c r="V14" s="134">
        <v>6</v>
      </c>
      <c r="W14" s="134">
        <v>5</v>
      </c>
    </row>
    <row r="15" spans="1:24" ht="14.25" customHeight="1" x14ac:dyDescent="0.2">
      <c r="A15" s="135"/>
      <c r="B15" s="121"/>
      <c r="C15" s="121"/>
      <c r="D15" s="121"/>
      <c r="E15" s="121"/>
      <c r="F15" s="121"/>
      <c r="G15" s="121"/>
      <c r="H15" s="121"/>
      <c r="I15" s="121"/>
      <c r="J15" s="121"/>
      <c r="K15" s="66"/>
      <c r="L15" s="66"/>
      <c r="M15" s="84" t="str">
        <f>'cálculo A+B'!F57</f>
        <v>Antonio M. Caro</v>
      </c>
      <c r="N15" s="84">
        <f>'cálculo A+B'!G57</f>
        <v>3</v>
      </c>
      <c r="O15" s="84">
        <f>'cálculo A+B'!H57</f>
        <v>1</v>
      </c>
      <c r="P15" s="84">
        <f>'cálculo A+B'!I57</f>
        <v>2</v>
      </c>
      <c r="Q15" s="84">
        <f>'cálculo A+B'!J57</f>
        <v>2</v>
      </c>
      <c r="R15" s="84">
        <f>'cálculo A+B'!K57</f>
        <v>4</v>
      </c>
      <c r="S15" s="84">
        <f t="shared" si="0"/>
        <v>-2</v>
      </c>
      <c r="T15" s="84">
        <f>'cálculo A+B'!L57</f>
        <v>-15</v>
      </c>
      <c r="U15" s="84">
        <f>'cálculo A+B'!M57</f>
        <v>1</v>
      </c>
      <c r="V15" s="134">
        <v>7</v>
      </c>
      <c r="W15" s="134">
        <v>6</v>
      </c>
    </row>
    <row r="16" spans="1:24" ht="14.25" customHeight="1" x14ac:dyDescent="0.2">
      <c r="A16" s="13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84" t="str">
        <f>'cálculo A+B'!F58</f>
        <v>Luis C. Torres</v>
      </c>
      <c r="N16" s="84">
        <f>'cálculo A+B'!G58</f>
        <v>3</v>
      </c>
      <c r="O16" s="84">
        <f>'cálculo A+B'!H58</f>
        <v>0</v>
      </c>
      <c r="P16" s="84">
        <f>'cálculo A+B'!I58</f>
        <v>3</v>
      </c>
      <c r="Q16" s="84">
        <f>'cálculo A+B'!J58</f>
        <v>1</v>
      </c>
      <c r="R16" s="84">
        <f>'cálculo A+B'!K58</f>
        <v>6</v>
      </c>
      <c r="S16" s="84">
        <f t="shared" si="0"/>
        <v>-5</v>
      </c>
      <c r="T16" s="84">
        <f>'cálculo A+B'!L58</f>
        <v>-10.01</v>
      </c>
      <c r="U16" s="84">
        <f>'cálculo A+B'!M58</f>
        <v>0</v>
      </c>
      <c r="V16" s="134">
        <v>8</v>
      </c>
      <c r="W16" s="134">
        <v>7</v>
      </c>
    </row>
    <row r="17" spans="1:23" ht="14.25" customHeight="1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84" t="str">
        <f>'cálculo A+B'!F59</f>
        <v>Jesús García</v>
      </c>
      <c r="N17" s="84">
        <f>'cálculo A+B'!G59</f>
        <v>3</v>
      </c>
      <c r="O17" s="84">
        <f>'cálculo A+B'!H59</f>
        <v>0</v>
      </c>
      <c r="P17" s="84">
        <f>'cálculo A+B'!I59</f>
        <v>3</v>
      </c>
      <c r="Q17" s="84">
        <f>'cálculo A+B'!J59</f>
        <v>0</v>
      </c>
      <c r="R17" s="84">
        <f>'cálculo A+B'!K59</f>
        <v>6</v>
      </c>
      <c r="S17" s="84">
        <f t="shared" si="0"/>
        <v>-6</v>
      </c>
      <c r="T17" s="84">
        <f>'cálculo A+B'!L59</f>
        <v>-24</v>
      </c>
      <c r="U17" s="84">
        <f>'cálculo A+B'!M59</f>
        <v>0</v>
      </c>
      <c r="V17" s="134"/>
      <c r="W17" s="134">
        <v>8</v>
      </c>
    </row>
    <row r="18" spans="1:23" ht="15" customHeight="1" x14ac:dyDescent="0.2">
      <c r="A18" s="66"/>
      <c r="B18" s="349" t="s">
        <v>81</v>
      </c>
      <c r="C18" s="349"/>
      <c r="D18" s="349"/>
      <c r="E18" s="350"/>
      <c r="F18" s="66"/>
      <c r="G18" s="66"/>
      <c r="H18" s="66"/>
      <c r="I18" s="66"/>
      <c r="J18" s="66"/>
      <c r="K18" s="66"/>
      <c r="L18" s="66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</row>
    <row r="19" spans="1:23" ht="14.25" customHeight="1" x14ac:dyDescent="0.2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4.25" customHeight="1" x14ac:dyDescent="0.2">
      <c r="A20" s="66"/>
      <c r="B20" s="103"/>
      <c r="C20" s="66"/>
      <c r="D20" s="66"/>
      <c r="E20" s="103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</row>
    <row r="21" spans="1:23" ht="14.25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</row>
    <row r="22" spans="1:23" ht="15" customHeight="1" x14ac:dyDescent="0.2">
      <c r="A22" s="66"/>
      <c r="B22" s="66"/>
      <c r="C22" s="66"/>
      <c r="D22" s="66"/>
      <c r="E22" s="61"/>
      <c r="F22" s="62"/>
      <c r="G22" s="62"/>
      <c r="H22" s="62"/>
      <c r="I22" s="63"/>
      <c r="J22" s="64"/>
      <c r="K22" s="318"/>
      <c r="L22" s="318"/>
      <c r="M22" s="317"/>
      <c r="N22" s="317"/>
      <c r="O22" s="110"/>
      <c r="P22" s="110"/>
      <c r="Q22" s="66"/>
      <c r="R22" s="66"/>
      <c r="S22" s="66"/>
      <c r="T22" s="66"/>
      <c r="U22" s="66"/>
      <c r="V22" s="66"/>
      <c r="W22" s="66"/>
    </row>
    <row r="23" spans="1:23" hidden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100">
        <f ca="1">HOUR(M4)</f>
        <v>12</v>
      </c>
      <c r="S23" s="100">
        <f ca="1">MINUTE(M4)</f>
        <v>32</v>
      </c>
      <c r="T23" s="66"/>
      <c r="U23" s="66"/>
      <c r="V23" s="66"/>
      <c r="W23" s="66"/>
    </row>
    <row r="24" spans="1:23" hidden="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100"/>
      <c r="S24" s="102">
        <f ca="1">TIME(R23,S23,0)</f>
        <v>0.52222222222222225</v>
      </c>
      <c r="T24" s="66"/>
      <c r="U24" s="66"/>
      <c r="V24" s="66"/>
      <c r="W24" s="66"/>
    </row>
    <row r="25" spans="1:23" ht="15" customHeight="1" x14ac:dyDescent="0.2">
      <c r="A25" s="66"/>
      <c r="B25" s="66"/>
      <c r="C25" s="66"/>
      <c r="D25" s="66"/>
      <c r="E25" s="61"/>
      <c r="F25" s="62"/>
      <c r="G25" s="62"/>
      <c r="H25" s="62"/>
      <c r="I25" s="63"/>
      <c r="J25" s="64"/>
      <c r="K25" s="318"/>
      <c r="L25" s="318"/>
      <c r="M25" s="317"/>
      <c r="N25" s="317"/>
      <c r="O25" s="110"/>
      <c r="P25" s="110"/>
      <c r="Q25" s="66"/>
      <c r="R25" s="66"/>
      <c r="S25" s="66"/>
      <c r="T25" s="66"/>
      <c r="U25" s="66"/>
      <c r="V25" s="66"/>
      <c r="W25" s="66"/>
    </row>
    <row r="26" spans="1:23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x14ac:dyDescent="0.2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3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3" hidden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3" hidden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3" hidden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idden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idden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idden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idden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idden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idden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idden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7" hidden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7" hidden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7" hidden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7" hidden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7" hidden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7" hidden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7" hidden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7" hidden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7" hidden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hidden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idden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hidden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hidden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idden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hidden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idden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hidden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idden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hidden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idden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idden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hidden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hidden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idden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idden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idden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 hidden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idden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 hidden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 hidden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 hidden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hidden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2" hidden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 hidden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idden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 hidden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idden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 hidden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idden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2" hidden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idden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hidden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hidden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 hidden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idden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hidden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idden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 hidden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 hidden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idden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idden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idden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 hidden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 hidden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 hidden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idden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 hidden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 hidden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hidden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idden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hidden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idden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 hidden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 hidden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 hidden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idden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 hidden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 hidden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 hidden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idden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 hidden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hidden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 hidden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 hidden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 hidden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 hidden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 hidden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idden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 hidden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 hidden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hidden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hidden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hidden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hidden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 hidden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idden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 hidden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idden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 hidden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hidden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hidden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idden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hidden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hidden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hidden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hidden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hidden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idden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hidden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hidden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idden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hidden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idden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hidden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hidden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hidden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idden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hidden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hidden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hidden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 hidden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 hidden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idden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 hidden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 hidden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idden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 hidden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 hidden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hidden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idden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 hidden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 hidden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idden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 hidden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 hidden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idden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 hidden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 hidden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hidden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idden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hidden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idden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 hidden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idden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 hidden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 hidden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 hidden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 hidden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idden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 hidden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 hidden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 hidden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 spans="1:12" hidden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idden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 hidden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 spans="1:12" hidden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spans="1:12" hidden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 spans="1:12" hidden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spans="1:12" hidden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idden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 hidden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 hidden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 hidden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 hidden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 spans="1:12" hidden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idden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 spans="1:12" hidden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 spans="1:12" hidden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idden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</row>
    <row r="199" spans="1:12" hidden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</row>
    <row r="200" spans="1:12" hidden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</row>
    <row r="201" spans="1:12" hidden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</row>
    <row r="202" spans="1:12" hidden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</row>
    <row r="203" spans="1:12" hidden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idden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</row>
    <row r="205" spans="1:12" hidden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</row>
    <row r="206" spans="1:12" hidden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idden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</row>
    <row r="208" spans="1:12" hidden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idden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1:12" hidden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</row>
    <row r="211" spans="1:12" hidden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</row>
    <row r="212" spans="1:12" hidden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</row>
    <row r="213" spans="1:12" hidden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idden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 spans="1:12" hidden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 spans="1:12" hidden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idden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</row>
    <row r="218" spans="1:12" hidden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</row>
    <row r="219" spans="1:12" hidden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</row>
    <row r="220" spans="1:12" hidden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</row>
    <row r="221" spans="1:12" hidden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idden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idden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</row>
    <row r="224" spans="1:12" hidden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idden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</row>
    <row r="226" spans="1:12" hidden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</row>
    <row r="227" spans="1:12" hidden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</row>
    <row r="228" spans="1:12" hidden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</row>
    <row r="229" spans="1:12" hidden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</row>
    <row r="230" spans="1:12" hidden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</row>
    <row r="231" spans="1:12" hidden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</row>
    <row r="232" spans="1:12" hidden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</row>
    <row r="233" spans="1:12" hidden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</row>
    <row r="234" spans="1:12" hidden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</row>
    <row r="235" spans="1:12" hidden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spans="1:12" hidden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</row>
    <row r="237" spans="1:12" hidden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</row>
    <row r="238" spans="1:12" hidden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</row>
    <row r="239" spans="1:12" hidden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</row>
    <row r="240" spans="1:12" hidden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</row>
    <row r="241" spans="1:12" hidden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</row>
    <row r="242" spans="1:12" hidden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</row>
    <row r="243" spans="1:12" hidden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</row>
    <row r="244" spans="1:12" hidden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</row>
    <row r="245" spans="1:12" hidden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</row>
    <row r="246" spans="1:12" hidden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</row>
    <row r="247" spans="1:12" hidden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</row>
    <row r="248" spans="1:12" hidden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idden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</row>
    <row r="250" spans="1:12" hidden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</row>
    <row r="251" spans="1:12" hidden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</row>
    <row r="252" spans="1:12" hidden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</row>
    <row r="253" spans="1:12" hidden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</row>
    <row r="254" spans="1:12" hidden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</row>
    <row r="255" spans="1:12" hidden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</row>
    <row r="256" spans="1:12" hidden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</row>
    <row r="257" spans="1:12" hidden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</row>
    <row r="258" spans="1:12" hidden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</row>
    <row r="259" spans="1:12" hidden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</row>
    <row r="260" spans="1:12" hidden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</row>
    <row r="261" spans="1:12" hidden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</row>
    <row r="262" spans="1:12" hidden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</row>
    <row r="263" spans="1:12" hidden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</row>
    <row r="264" spans="1:12" hidden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</row>
    <row r="265" spans="1:12" hidden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</row>
    <row r="266" spans="1:12" hidden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</row>
    <row r="267" spans="1:12" hidden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</row>
    <row r="268" spans="1:12" hidden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</row>
    <row r="269" spans="1:12" hidden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</row>
    <row r="270" spans="1:12" hidden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</row>
    <row r="271" spans="1:12" hidden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</row>
    <row r="272" spans="1:12" hidden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</row>
    <row r="273" spans="1:12" hidden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</row>
    <row r="274" spans="1:12" hidden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</row>
    <row r="275" spans="1:12" hidden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</row>
    <row r="276" spans="1:12" hidden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spans="1:12" hidden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</row>
    <row r="278" spans="1:12" hidden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</row>
    <row r="279" spans="1:12" hidden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</row>
    <row r="280" spans="1:12" hidden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1" spans="1:12" hidden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</row>
    <row r="282" spans="1:12" hidden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</row>
    <row r="283" spans="1:12" hidden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</row>
    <row r="284" spans="1:12" hidden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</row>
    <row r="285" spans="1:12" hidden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 spans="1:12" hidden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spans="1:12" hidden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 spans="1:12" hidden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spans="1:12" hidden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 spans="1:12" hidden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 spans="1:12" hidden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 spans="1:12" hidden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 spans="1:12" hidden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 spans="1:12" hidden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 spans="1:12" hidden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spans="1:12" hidden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 spans="1:12" hidden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spans="1:12" hidden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 spans="1:12" hidden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spans="1:12" hidden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 spans="1:12" hidden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spans="1:12" hidden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1:12" hidden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 spans="1:12" hidden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spans="1:12" hidden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 spans="1:12" hidden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spans="1:12" hidden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 spans="1:12" hidden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09" spans="1:12" hidden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 spans="1:12" hidden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</row>
    <row r="311" spans="1:12" hidden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 spans="1:12" hidden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</row>
    <row r="313" spans="1:12" hidden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 spans="1:12" hidden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</row>
    <row r="315" spans="1:12" hidden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 spans="1:12" hidden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</row>
    <row r="317" spans="1:12" hidden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18" spans="1:12" hidden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 spans="1:12" hidden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</row>
    <row r="320" spans="1:12" hidden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 spans="1:12" hidden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</row>
    <row r="322" spans="1:12" hidden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</row>
    <row r="323" spans="1:12" hidden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</row>
    <row r="324" spans="1:12" hidden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</row>
    <row r="325" spans="1:12" hidden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6" spans="1:12" hidden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 spans="1:12" hidden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</row>
    <row r="328" spans="1:12" hidden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 spans="1:12" hidden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</row>
    <row r="330" spans="1:12" hidden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</row>
    <row r="331" spans="1:12" hidden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2" spans="1:12" hidden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</row>
    <row r="333" spans="1:12" hidden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 spans="1:12" hidden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</row>
    <row r="335" spans="1:12" hidden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 spans="1:12" hidden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</row>
    <row r="337" spans="1:12" hidden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 spans="1:12" hidden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</row>
    <row r="339" spans="1:12" hidden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 spans="1:12" hidden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</row>
    <row r="341" spans="1:12" hidden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 spans="1:12" hidden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</row>
    <row r="343" spans="1:12" hidden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</row>
    <row r="344" spans="1:12" hidden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</row>
    <row r="345" spans="1:12" hidden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</row>
    <row r="346" spans="1:12" hidden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</row>
    <row r="347" spans="1:12" hidden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</row>
    <row r="348" spans="1:12" hidden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 spans="1:12" hidden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</row>
    <row r="350" spans="1:12" hidden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 spans="1:12" hidden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</row>
    <row r="352" spans="1:12" hidden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</row>
    <row r="353" spans="1:12" hidden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</row>
    <row r="354" spans="1:12" hidden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</row>
    <row r="355" spans="1:12" hidden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</row>
    <row r="356" spans="1:12" hidden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 spans="1:12" hidden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</row>
    <row r="358" spans="1:12" hidden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</row>
    <row r="359" spans="1:12" hidden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</row>
    <row r="360" spans="1:12" hidden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 spans="1:12" hidden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 spans="1:12" hidden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</row>
    <row r="363" spans="1:12" hidden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64" spans="1:12" hidden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</row>
    <row r="365" spans="1:12" hidden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 spans="1:12" hidden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</row>
    <row r="367" spans="1:12" hidden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</row>
    <row r="368" spans="1:12" hidden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</row>
    <row r="369" spans="1:12" hidden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</row>
    <row r="370" spans="1:12" hidden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1" spans="1:12" hidden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</row>
    <row r="372" spans="1:12" hidden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</row>
    <row r="373" spans="1:12" hidden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</row>
    <row r="374" spans="1:12" hidden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</row>
    <row r="375" spans="1:12" hidden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</row>
    <row r="376" spans="1:12" hidden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</row>
    <row r="377" spans="1:12" hidden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</row>
    <row r="378" spans="1:12" hidden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</row>
    <row r="379" spans="1:12" hidden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</row>
    <row r="380" spans="1:12" hidden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</row>
    <row r="381" spans="1:12" hidden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</row>
    <row r="382" spans="1:12" hidden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</row>
    <row r="383" spans="1:12" hidden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</row>
    <row r="384" spans="1:12" hidden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</row>
    <row r="385" spans="1:12" hidden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</row>
    <row r="386" spans="1:12" hidden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</row>
    <row r="387" spans="1:12" hidden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</row>
    <row r="388" spans="1:12" hidden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</row>
    <row r="389" spans="1:12" hidden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</row>
    <row r="390" spans="1:12" hidden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</row>
    <row r="391" spans="1:12" hidden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</row>
    <row r="392" spans="1:12" hidden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</row>
    <row r="393" spans="1:12" hidden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 spans="1:12" hidden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</row>
    <row r="395" spans="1:12" hidden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</row>
    <row r="396" spans="1:12" hidden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</row>
    <row r="397" spans="1:12" hidden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</row>
    <row r="398" spans="1:12" hidden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</row>
    <row r="399" spans="1:12" hidden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</row>
    <row r="400" spans="1:12" hidden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</row>
    <row r="401" spans="1:12" hidden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</row>
    <row r="402" spans="1:12" hidden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</row>
    <row r="403" spans="1:12" hidden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</row>
    <row r="404" spans="1:12" hidden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</row>
    <row r="405" spans="1:12" hidden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</row>
    <row r="406" spans="1:12" hidden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</row>
    <row r="407" spans="1:12" hidden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</row>
    <row r="408" spans="1:12" hidden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</row>
    <row r="409" spans="1:12" hidden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</row>
    <row r="410" spans="1:12" hidden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</row>
    <row r="411" spans="1:12" hidden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</row>
    <row r="412" spans="1:12" hidden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</row>
    <row r="413" spans="1:12" hidden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</row>
    <row r="414" spans="1:12" hidden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</row>
    <row r="415" spans="1:12" hidden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</row>
    <row r="416" spans="1:12" hidden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</row>
    <row r="417" spans="1:12" hidden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</row>
    <row r="418" spans="1:12" hidden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</row>
    <row r="419" spans="1:12" hidden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</row>
    <row r="420" spans="1:12" hidden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 spans="1:12" hidden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</row>
    <row r="422" spans="1:12" hidden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</row>
    <row r="423" spans="1:12" hidden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</row>
    <row r="424" spans="1:12" hidden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</row>
    <row r="425" spans="1:12" hidden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</row>
    <row r="426" spans="1:12" hidden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</row>
    <row r="427" spans="1:12" hidden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</row>
    <row r="428" spans="1:12" hidden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</row>
    <row r="429" spans="1:12" hidden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</row>
    <row r="430" spans="1:12" hidden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</row>
    <row r="431" spans="1:12" hidden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</row>
    <row r="432" spans="1:12" hidden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</row>
    <row r="433" spans="1:12" hidden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 spans="1:12" hidden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</row>
    <row r="435" spans="1:12" hidden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</row>
    <row r="436" spans="1:12" hidden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</row>
    <row r="437" spans="1:12" hidden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</row>
    <row r="438" spans="1:12" hidden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</row>
    <row r="439" spans="1:12" hidden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</row>
    <row r="440" spans="1:12" hidden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</row>
    <row r="441" spans="1:12" hidden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</row>
    <row r="442" spans="1:12" hidden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</row>
    <row r="443" spans="1:12" hidden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</row>
    <row r="444" spans="1:12" hidden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</row>
    <row r="445" spans="1:12" hidden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</row>
    <row r="446" spans="1:12" hidden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</row>
    <row r="447" spans="1:12" hidden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</row>
    <row r="448" spans="1:12" hidden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</row>
    <row r="449" spans="1:12" hidden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</row>
    <row r="450" spans="1:12" hidden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</row>
    <row r="451" spans="1:12" hidden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</row>
    <row r="452" spans="1:12" hidden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</row>
    <row r="453" spans="1:12" hidden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</row>
    <row r="454" spans="1:12" hidden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</row>
    <row r="455" spans="1:12" hidden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</row>
    <row r="456" spans="1:12" hidden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</row>
    <row r="457" spans="1:12" hidden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</row>
    <row r="458" spans="1:12" hidden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</row>
    <row r="459" spans="1:12" hidden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</row>
    <row r="460" spans="1:12" hidden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</row>
    <row r="461" spans="1:12" hidden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</row>
    <row r="462" spans="1:12" hidden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</row>
    <row r="463" spans="1:12" hidden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</row>
    <row r="464" spans="1:12" hidden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</row>
    <row r="465" spans="1:12" hidden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</row>
    <row r="466" spans="1:12" hidden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</row>
    <row r="467" spans="1:12" hidden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</row>
    <row r="468" spans="1:12" hidden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</row>
    <row r="469" spans="1:12" hidden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</row>
    <row r="470" spans="1:12" hidden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</row>
    <row r="471" spans="1:12" hidden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</row>
    <row r="472" spans="1:12" hidden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</row>
    <row r="473" spans="1:12" hidden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</row>
    <row r="474" spans="1:12" hidden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</row>
    <row r="475" spans="1:12" hidden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</row>
    <row r="476" spans="1:12" hidden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</row>
    <row r="477" spans="1:12" hidden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</row>
    <row r="478" spans="1:12" hidden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</row>
    <row r="479" spans="1:12" hidden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</row>
    <row r="480" spans="1:12" hidden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</row>
    <row r="481" spans="1:12" hidden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</row>
    <row r="482" spans="1:12" hidden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 spans="1:12" hidden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</row>
    <row r="484" spans="1:12" hidden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</row>
    <row r="485" spans="1:12" hidden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</row>
    <row r="486" spans="1:12" hidden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</row>
    <row r="487" spans="1:12" hidden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</row>
    <row r="488" spans="1:12" hidden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</row>
    <row r="489" spans="1:12" hidden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</row>
    <row r="490" spans="1:12" hidden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</row>
    <row r="491" spans="1:12" hidden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</row>
    <row r="492" spans="1:12" hidden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</row>
    <row r="493" spans="1:12" hidden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</row>
    <row r="494" spans="1:12" hidden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</row>
    <row r="495" spans="1:12" hidden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</row>
    <row r="496" spans="1:12" hidden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</row>
    <row r="497" spans="1:12" hidden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</row>
    <row r="498" spans="1:12" hidden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</row>
    <row r="499" spans="1:12" hidden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</row>
    <row r="500" spans="1:12" hidden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</row>
    <row r="501" spans="1:12" hidden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</row>
    <row r="502" spans="1:12" hidden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 spans="1:12" hidden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</row>
    <row r="504" spans="1:12" hidden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</row>
    <row r="505" spans="1:12" hidden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</row>
    <row r="506" spans="1:12" hidden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</row>
    <row r="507" spans="1:12" hidden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</row>
    <row r="508" spans="1:12" hidden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</row>
    <row r="509" spans="1:12" hidden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</row>
    <row r="510" spans="1:12" hidden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</row>
    <row r="511" spans="1:12" hidden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</row>
    <row r="512" spans="1:12" hidden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</row>
    <row r="513" spans="1:12" hidden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</row>
    <row r="514" spans="1:12" hidden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</row>
    <row r="515" spans="1:12" hidden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</row>
    <row r="516" spans="1:12" hidden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</row>
    <row r="517" spans="1:12" hidden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</row>
    <row r="518" spans="1:12" hidden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</row>
    <row r="519" spans="1:12" hidden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</row>
    <row r="520" spans="1:12" hidden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</row>
    <row r="521" spans="1:12" hidden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</row>
    <row r="522" spans="1:12" hidden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3" spans="1:12" hidden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</row>
    <row r="524" spans="1:12" hidden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</row>
    <row r="525" spans="1:12" hidden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</row>
    <row r="526" spans="1:12" hidden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</row>
    <row r="527" spans="1:12" hidden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 spans="1:12" hidden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</row>
    <row r="529" spans="1:12" hidden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</row>
    <row r="530" spans="1:12" hidden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</row>
    <row r="531" spans="1:12" hidden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</row>
    <row r="532" spans="1:12" hidden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</row>
    <row r="533" spans="1:12" hidden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 spans="1:12" hidden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</row>
    <row r="535" spans="1:12" hidden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</row>
    <row r="536" spans="1:12" hidden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</row>
    <row r="537" spans="1:12" hidden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 spans="1:12" hidden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 spans="1:12" hidden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</row>
    <row r="540" spans="1:12" hidden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</row>
    <row r="541" spans="1:12" hidden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 spans="1:12" hidden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</row>
    <row r="543" spans="1:12" hidden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 spans="1:12" hidden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</row>
    <row r="545" spans="1:12" hidden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</row>
    <row r="546" spans="1:12" hidden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 spans="1:12" hidden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 spans="1:12" hidden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</row>
    <row r="549" spans="1:12" hidden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</row>
    <row r="550" spans="1:12" hidden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</row>
    <row r="551" spans="1:12" hidden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</row>
    <row r="552" spans="1:12" hidden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</row>
    <row r="553" spans="1:12" hidden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</row>
    <row r="554" spans="1:12" hidden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</row>
    <row r="555" spans="1:12" hidden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</row>
    <row r="556" spans="1:12" hidden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 spans="1:12" hidden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</row>
    <row r="558" spans="1:12" hidden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</row>
    <row r="559" spans="1:12" hidden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</row>
    <row r="560" spans="1:12" hidden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</row>
    <row r="561" spans="1:12" hidden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 spans="1:12" hidden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 spans="1:12" hidden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</row>
    <row r="564" spans="1:12" hidden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</row>
    <row r="565" spans="1:12" hidden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</row>
    <row r="566" spans="1:12" hidden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 spans="1:12" hidden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 spans="1:12" hidden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 spans="1:12" hidden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</row>
    <row r="570" spans="1:12" hidden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</row>
    <row r="571" spans="1:12" hidden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</row>
    <row r="572" spans="1:12" hidden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</row>
    <row r="573" spans="1:12" hidden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</row>
    <row r="574" spans="1:12" hidden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</row>
    <row r="575" spans="1:12" hidden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</row>
    <row r="576" spans="1:12" hidden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</row>
    <row r="577" spans="1:12" hidden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</row>
    <row r="578" spans="1:12" hidden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 spans="1:12" hidden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</row>
    <row r="580" spans="1:12" hidden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</row>
    <row r="581" spans="1:12" hidden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</row>
    <row r="582" spans="1:12" hidden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</row>
    <row r="583" spans="1:12" hidden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</row>
    <row r="584" spans="1:12" hidden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 spans="1:12" hidden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 spans="1:12" hidden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</row>
    <row r="587" spans="1:12" hidden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</row>
    <row r="588" spans="1:12" hidden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</row>
    <row r="589" spans="1:12" hidden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</row>
    <row r="590" spans="1:12" hidden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 spans="1:12" hidden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 spans="1:12" hidden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</row>
    <row r="593" spans="1:12" hidden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</row>
    <row r="594" spans="1:12" hidden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 spans="1:12" hidden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</row>
    <row r="596" spans="1:12" hidden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 spans="1:12" hidden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</row>
    <row r="598" spans="1:12" hidden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</row>
    <row r="599" spans="1:12" hidden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</row>
    <row r="600" spans="1:12" hidden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spans="1:12" hidden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</row>
    <row r="602" spans="1:12" hidden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</row>
    <row r="603" spans="1:12" hidden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</row>
    <row r="604" spans="1:12" hidden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</row>
    <row r="605" spans="1:12" hidden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</row>
    <row r="606" spans="1:12" hidden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spans="1:12" hidden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</row>
    <row r="608" spans="1:12" hidden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</row>
    <row r="609" spans="1:12" hidden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</row>
    <row r="610" spans="1:12" hidden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</row>
    <row r="611" spans="1:12" hidden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</row>
    <row r="612" spans="1:12" hidden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 spans="1:12" hidden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</row>
    <row r="614" spans="1:12" hidden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</row>
    <row r="615" spans="1:12" hidden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 spans="1:12" hidden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</row>
    <row r="617" spans="1:12" hidden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</row>
    <row r="618" spans="1:12" hidden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</row>
    <row r="619" spans="1:12" hidden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</row>
    <row r="620" spans="1:12" hidden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 spans="1:12" hidden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 spans="1:12" hidden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</row>
    <row r="623" spans="1:12" hidden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</row>
    <row r="624" spans="1:12" hidden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 spans="1:12" hidden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</row>
    <row r="626" spans="1:12" hidden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 spans="1:12" hidden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</row>
    <row r="628" spans="1:12" hidden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</row>
    <row r="629" spans="1:12" hidden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</row>
    <row r="630" spans="1:12" hidden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spans="1:12" hidden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</row>
    <row r="632" spans="1:12" hidden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</row>
    <row r="633" spans="1:12" hidden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</row>
    <row r="634" spans="1:12" hidden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</row>
    <row r="635" spans="1:12" hidden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</row>
    <row r="636" spans="1:12" hidden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spans="1:12" hidden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</row>
    <row r="638" spans="1:12" hidden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</row>
    <row r="639" spans="1:12" hidden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</row>
    <row r="640" spans="1:12" hidden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 spans="1:12" hidden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</row>
    <row r="642" spans="1:12" hidden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 spans="1:12" hidden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</row>
    <row r="644" spans="1:12" hidden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</row>
    <row r="645" spans="1:12" hidden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 spans="1:12" hidden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 spans="1:12" hidden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</row>
    <row r="648" spans="1:12" hidden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</row>
    <row r="649" spans="1:12" hidden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</row>
    <row r="650" spans="1:12" hidden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</row>
    <row r="651" spans="1:12" hidden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 spans="1:12" hidden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</row>
    <row r="653" spans="1:12" hidden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</row>
    <row r="654" spans="1:12" hidden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</row>
    <row r="655" spans="1:12" hidden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</row>
    <row r="656" spans="1:12" hidden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</row>
    <row r="657" spans="1:12" hidden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</row>
    <row r="658" spans="1:12" hidden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 spans="1:12" hidden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</row>
    <row r="660" spans="1:12" hidden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</row>
    <row r="661" spans="1:12" hidden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</row>
    <row r="662" spans="1:12" hidden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</row>
    <row r="663" spans="1:12" hidden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</row>
    <row r="664" spans="1:12" hidden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</row>
    <row r="665" spans="1:12" hidden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</row>
    <row r="666" spans="1:12" hidden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</row>
    <row r="667" spans="1:12" hidden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</row>
    <row r="668" spans="1:12" hidden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 spans="1:12" hidden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 spans="1:12" hidden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</row>
    <row r="671" spans="1:12" hidden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</row>
    <row r="672" spans="1:12" hidden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</row>
    <row r="673" spans="1:12" hidden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</row>
    <row r="674" spans="1:12" hidden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 spans="1:12" hidden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</row>
    <row r="676" spans="1:12" hidden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</row>
    <row r="677" spans="1:12" hidden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</row>
    <row r="678" spans="1:12" hidden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</row>
    <row r="679" spans="1:12" hidden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</row>
    <row r="680" spans="1:12" hidden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</row>
    <row r="681" spans="1:12" hidden="1" x14ac:dyDescent="0.2">
      <c r="L681" s="9"/>
    </row>
    <row r="682" spans="1:12" hidden="1" x14ac:dyDescent="0.2">
      <c r="L682" s="9"/>
    </row>
    <row r="683" spans="1:12" hidden="1" x14ac:dyDescent="0.2">
      <c r="L683" s="9"/>
    </row>
    <row r="684" spans="1:12" hidden="1" x14ac:dyDescent="0.2">
      <c r="L684" s="9"/>
    </row>
    <row r="685" spans="1:12" hidden="1" x14ac:dyDescent="0.2">
      <c r="L685" s="9"/>
    </row>
    <row r="686" spans="1:12" hidden="1" x14ac:dyDescent="0.2">
      <c r="L686" s="9"/>
    </row>
    <row r="687" spans="1:12" hidden="1" x14ac:dyDescent="0.2">
      <c r="L687" s="9"/>
    </row>
    <row r="688" spans="1:12" hidden="1" x14ac:dyDescent="0.2">
      <c r="L688" s="9"/>
    </row>
    <row r="689" spans="12:12" hidden="1" x14ac:dyDescent="0.2">
      <c r="L689" s="9"/>
    </row>
  </sheetData>
  <sheetProtection sheet="1" objects="1" scenarios="1"/>
  <mergeCells count="16">
    <mergeCell ref="M8:W8"/>
    <mergeCell ref="M18:W18"/>
    <mergeCell ref="B18:E18"/>
    <mergeCell ref="J8:K8"/>
    <mergeCell ref="J12:K12"/>
    <mergeCell ref="K25:L25"/>
    <mergeCell ref="M25:N25"/>
    <mergeCell ref="K22:L22"/>
    <mergeCell ref="M22:N22"/>
    <mergeCell ref="B9:C9"/>
    <mergeCell ref="B13:C13"/>
    <mergeCell ref="A1:O2"/>
    <mergeCell ref="E5:F5"/>
    <mergeCell ref="B5:D5"/>
    <mergeCell ref="G5:H5"/>
    <mergeCell ref="O4:Q4"/>
  </mergeCells>
  <phoneticPr fontId="26" type="noConversion"/>
  <conditionalFormatting sqref="A8 C8:E8 B18 E12">
    <cfRule type="expression" dxfId="20" priority="6" stopIfTrue="1">
      <formula>IF(OR($E$8="hoy!",$E$8="en juego"),1,0)</formula>
    </cfRule>
  </conditionalFormatting>
  <conditionalFormatting sqref="B8 A12">
    <cfRule type="expression" dxfId="19" priority="7" stopIfTrue="1">
      <formula>IF(OR($E$12="hoy!",$E$12="en juego"),1,0)</formula>
    </cfRule>
  </conditionalFormatting>
  <conditionalFormatting sqref="F6:H6 F10:H10">
    <cfRule type="expression" dxfId="18" priority="10" stopIfTrue="1">
      <formula>F7&lt;&gt;""</formula>
    </cfRule>
  </conditionalFormatting>
  <conditionalFormatting sqref="F22:H22 F25:H25">
    <cfRule type="expression" dxfId="17" priority="12" stopIfTrue="1">
      <formula>IF(OR($L$6="en juego",$L$6="hoy!"),1,0)</formula>
    </cfRule>
  </conditionalFormatting>
  <conditionalFormatting sqref="O22:P22 E22 O25:P25 E25">
    <cfRule type="expression" dxfId="16" priority="13" stopIfTrue="1">
      <formula>IF(OR($L$8="en juego",$L$8="hoy!"),1,0)</formula>
    </cfRule>
  </conditionalFormatting>
  <conditionalFormatting sqref="I22:N22 I25:N25">
    <cfRule type="expression" dxfId="15" priority="14" stopIfTrue="1">
      <formula>IF(OR($L$8="en juego",$L$8="hoy!"),1,0)</formula>
    </cfRule>
  </conditionalFormatting>
  <conditionalFormatting sqref="M10:U17">
    <cfRule type="expression" dxfId="14" priority="15" stopIfTrue="1">
      <formula>IF(AND($H$17=3,$H$18=3,$H$19=3,$H$20=3),1,0)</formula>
    </cfRule>
  </conditionalFormatting>
  <conditionalFormatting sqref="E13">
    <cfRule type="cellIs" dxfId="13" priority="16" stopIfTrue="1" operator="notEqual">
      <formula>"1ero Grupo A"</formula>
    </cfRule>
  </conditionalFormatting>
  <conditionalFormatting sqref="E7 E11 E9">
    <cfRule type="cellIs" dxfId="12" priority="17" stopIfTrue="1" operator="notEqual">
      <formula>"2do Grupo A"</formula>
    </cfRule>
  </conditionalFormatting>
  <conditionalFormatting sqref="C12:D12">
    <cfRule type="expression" dxfId="11" priority="1" stopIfTrue="1">
      <formula>IF(OR($E$8="hoy!",$E$8="en juego"),1,0)</formula>
    </cfRule>
  </conditionalFormatting>
  <conditionalFormatting sqref="B12">
    <cfRule type="expression" dxfId="10" priority="2" stopIfTrue="1">
      <formula>IF(OR($E$12="hoy!",$E$12="en juego"),1,0)</formula>
    </cfRule>
  </conditionalFormatting>
  <dataValidations count="5">
    <dataValidation type="whole" allowBlank="1" showInputMessage="1" showErrorMessage="1" errorTitle="Dato no válido." error="Ingrese sólo un número entero_x000a_entre 0 y 99." sqref="F11 F7:G7">
      <formula1>0</formula1>
      <formula2>99</formula2>
    </dataValidation>
    <dataValidation type="whole" allowBlank="1" showInputMessage="1" showErrorMessage="1" errorTitle="Dato no válido" error="Ingrese sólo un número entero_x000a_entre 0 y 99." sqref="F9 F13">
      <formula1>0</formula1>
      <formula2>99</formula2>
    </dataValidation>
    <dataValidation type="custom" showErrorMessage="1" errorTitle="Dato no válido" error="Debe introducir antes el resultado del partido." sqref="G13 G9 G11">
      <formula1>IF(F9&lt;&gt;"",1,0)</formula1>
    </dataValidation>
    <dataValidation allowBlank="1" showInputMessage="1" showErrorMessage="1" errorTitle="Dato no válido." error="Ingrese sólo un número entero_x000a_entre 0 y 99." sqref="H7"/>
    <dataValidation type="list" allowBlank="1" showErrorMessage="1" errorTitle="Dato no válido" error="Ingrese sólo un número entero_x000a_entre 0 y 99." sqref="F22:H22 F25:H25">
      <formula1>$X$4:$X$18</formula1>
    </dataValidation>
  </dataValidations>
  <hyperlinks>
    <hyperlink ref="O4" location="Menu!A1" display="Menu Principal"/>
  </hyperlinks>
  <pageMargins left="0.75" right="0.75" top="1" bottom="1" header="0" footer="0"/>
  <pageSetup paperSize="9" scale="76" orientation="landscape" horizontalDpi="300" verticalDpi="300" r:id="rId1"/>
  <headerFooter alignWithMargins="0"/>
  <rowBreaks count="1" manualBreakCount="1">
    <brk id="3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U693"/>
  <sheetViews>
    <sheetView showGridLines="0" showRowColHeaders="0" tabSelected="1" workbookViewId="0">
      <selection sqref="A1:O2"/>
    </sheetView>
  </sheetViews>
  <sheetFormatPr baseColWidth="10" defaultColWidth="0" defaultRowHeight="12.75" zeroHeight="1" x14ac:dyDescent="0.2"/>
  <cols>
    <col min="1" max="1" width="2.140625" style="7" customWidth="1"/>
    <col min="2" max="2" width="14.7109375" style="7" customWidth="1"/>
    <col min="3" max="4" width="6.7109375" style="7" customWidth="1"/>
    <col min="5" max="5" width="16.7109375" style="7" bestFit="1" customWidth="1"/>
    <col min="6" max="8" width="3.7109375" style="7" customWidth="1"/>
    <col min="9" max="9" width="11.7109375" style="7" customWidth="1"/>
    <col min="10" max="10" width="15.7109375" style="7" customWidth="1"/>
    <col min="11" max="11" width="3.7109375" style="7" customWidth="1"/>
    <col min="12" max="12" width="7.7109375" style="7" bestFit="1" customWidth="1"/>
    <col min="13" max="13" width="13.5703125" style="7" bestFit="1" customWidth="1"/>
    <col min="14" max="14" width="1.7109375" style="7" customWidth="1"/>
    <col min="15" max="21" width="11.42578125" style="7" customWidth="1"/>
    <col min="22" max="16384" width="0" style="7" hidden="1"/>
  </cols>
  <sheetData>
    <row r="1" spans="1:21" s="10" customFormat="1" ht="34.5" customHeight="1" x14ac:dyDescent="0.2">
      <c r="A1" s="333" t="s">
        <v>117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168"/>
      <c r="Q1" s="168"/>
      <c r="R1" s="168"/>
      <c r="S1" s="168"/>
      <c r="T1" s="171"/>
      <c r="U1" s="171"/>
    </row>
    <row r="2" spans="1:21" s="10" customFormat="1" ht="34.5" customHeight="1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168"/>
      <c r="Q2" s="168"/>
      <c r="R2" s="168"/>
      <c r="S2" s="168"/>
      <c r="T2" s="171"/>
      <c r="U2" s="171"/>
    </row>
    <row r="3" spans="1:21" ht="12" customHeight="1" x14ac:dyDescent="0.2">
      <c r="A3" s="137"/>
      <c r="B3" s="66"/>
      <c r="C3" s="67"/>
      <c r="D3" s="66"/>
      <c r="E3" s="88"/>
      <c r="F3" s="88"/>
      <c r="G3" s="66"/>
      <c r="H3" s="66"/>
      <c r="I3" s="66"/>
      <c r="J3" s="66"/>
      <c r="K3" s="66"/>
      <c r="L3" s="111"/>
      <c r="M3" s="112"/>
      <c r="N3" s="66"/>
      <c r="O3" s="66"/>
      <c r="P3" s="66"/>
      <c r="Q3" s="66"/>
      <c r="R3" s="66"/>
      <c r="S3" s="66"/>
    </row>
    <row r="4" spans="1:21" ht="9.75" customHeight="1" x14ac:dyDescent="0.2">
      <c r="A4" s="137"/>
      <c r="B4" s="66"/>
      <c r="C4" s="67"/>
      <c r="D4" s="66"/>
      <c r="E4" s="88"/>
      <c r="F4" s="88"/>
      <c r="G4" s="66"/>
      <c r="H4" s="66"/>
      <c r="I4" s="66"/>
      <c r="J4" s="66"/>
      <c r="K4" s="66"/>
      <c r="L4" s="114">
        <f ca="1">TODAY()</f>
        <v>44548</v>
      </c>
      <c r="M4" s="115">
        <f ca="1">NOW()</f>
        <v>44548.522529282411</v>
      </c>
      <c r="N4" s="66"/>
      <c r="O4" s="344" t="s">
        <v>31</v>
      </c>
      <c r="P4" s="353"/>
      <c r="Q4" s="66"/>
      <c r="R4" s="66"/>
      <c r="S4" s="66"/>
    </row>
    <row r="5" spans="1:21" ht="14.25" customHeight="1" x14ac:dyDescent="0.2">
      <c r="A5" s="137"/>
      <c r="B5" s="138"/>
      <c r="C5" s="139" t="s">
        <v>25</v>
      </c>
      <c r="D5" s="66"/>
      <c r="E5" s="113"/>
      <c r="F5" s="113"/>
      <c r="G5" s="66"/>
      <c r="H5" s="66"/>
      <c r="I5" s="66"/>
      <c r="J5" s="66"/>
      <c r="K5" s="66"/>
      <c r="L5" s="140"/>
      <c r="M5" s="141"/>
      <c r="N5" s="66"/>
      <c r="O5" s="66"/>
      <c r="P5" s="66"/>
      <c r="Q5" s="66"/>
      <c r="R5" s="66"/>
      <c r="S5" s="66"/>
    </row>
    <row r="6" spans="1:21" ht="12" customHeight="1" x14ac:dyDescent="0.25">
      <c r="A6" s="137"/>
      <c r="B6" s="341" t="s">
        <v>74</v>
      </c>
      <c r="C6" s="341"/>
      <c r="D6" s="341"/>
      <c r="E6" s="360" t="s">
        <v>23</v>
      </c>
      <c r="F6" s="360"/>
      <c r="G6" s="361" t="s">
        <v>68</v>
      </c>
      <c r="H6" s="361"/>
      <c r="I6" s="142"/>
      <c r="J6" s="116" t="s">
        <v>25</v>
      </c>
      <c r="K6" s="66"/>
      <c r="L6" s="66"/>
      <c r="M6" s="66"/>
      <c r="N6" s="66"/>
      <c r="O6" s="66"/>
      <c r="P6" s="66"/>
      <c r="Q6" s="66"/>
      <c r="R6" s="66"/>
      <c r="S6" s="66"/>
    </row>
    <row r="7" spans="1:21" ht="15" customHeight="1" x14ac:dyDescent="0.2">
      <c r="A7" s="143"/>
      <c r="B7" s="120"/>
      <c r="C7" s="120"/>
      <c r="D7" s="120"/>
      <c r="E7" s="237"/>
      <c r="F7" s="121"/>
      <c r="G7" s="121"/>
      <c r="H7" s="121"/>
      <c r="I7" s="121"/>
      <c r="J7" s="121"/>
      <c r="K7" s="66"/>
      <c r="L7" s="66"/>
      <c r="M7" s="66"/>
      <c r="N7" s="66"/>
      <c r="O7" s="66"/>
      <c r="P7" s="66"/>
      <c r="Q7" s="66"/>
      <c r="R7" s="66"/>
      <c r="S7" s="66"/>
    </row>
    <row r="8" spans="1:21" ht="14.25" customHeight="1" x14ac:dyDescent="0.2">
      <c r="A8" s="143"/>
      <c r="B8" s="120"/>
      <c r="C8" s="120"/>
      <c r="D8" s="120"/>
      <c r="E8" s="144" t="str">
        <f>IF(Semifinal!J8="SF1","SF1-2",IF(Semifinal!J8=Semifinal!E7,Semifinal!E9,Semifinal!E7))</f>
        <v>Isma Barrionuevo</v>
      </c>
      <c r="F8" s="125">
        <v>2</v>
      </c>
      <c r="G8" s="125">
        <v>1</v>
      </c>
      <c r="H8" s="125"/>
      <c r="I8" s="238"/>
      <c r="J8" s="121"/>
      <c r="K8" s="66"/>
      <c r="L8" s="66"/>
      <c r="M8" s="66"/>
      <c r="N8" s="66"/>
      <c r="O8" s="66"/>
      <c r="P8" s="66"/>
      <c r="Q8" s="66"/>
      <c r="R8" s="66"/>
      <c r="S8" s="66"/>
    </row>
    <row r="9" spans="1:21" ht="14.25" customHeight="1" x14ac:dyDescent="0.2">
      <c r="A9" s="181" t="str">
        <f ca="1">IF(OR(E9="en juego",E9="hoy!",E9="finalizado"),"Ø","")</f>
        <v/>
      </c>
      <c r="B9" s="147"/>
      <c r="C9" s="147"/>
      <c r="D9" s="162"/>
      <c r="E9" s="362" t="str">
        <f ca="1">IF(OR(C9="",D9="",C9&lt;$L$4),"",IF(C9=$L$4,IF(AND(D9&lt;=$S$28,$S$28&lt;=(D9+0.08333333333)),"en juego",IF($S$28&lt;D9,"hoy!","finalizado")),IF($L$4&gt;C9,"finalizado","")))</f>
        <v/>
      </c>
      <c r="F9" s="362"/>
      <c r="G9" s="362"/>
      <c r="H9" s="363"/>
      <c r="I9" s="148"/>
      <c r="J9" s="149" t="str">
        <f>IF(AND(F8&lt;&gt;"",F10&lt;&gt;""),IF(OR(AND(F8&gt;F10,G8&gt;G10),AND(F8&gt;F10,H8&gt;H10),AND(G8&gt;G10,H8&gt;H10)),E8,IF(OR(AND(F8&lt;F10,G8&lt;G10),AND(F8&lt;F10,H8&lt;H10),AND(G8&lt;G10,H8&lt;H10)),E10,IF(F8&gt;F10,IF(G8&lt;&gt;"","3ª posición",E8),IF(G8&gt;G10,"3ª posición",E10)))),"3ª posición")</f>
        <v>José de Castro</v>
      </c>
      <c r="K9" s="66"/>
      <c r="L9" s="66"/>
      <c r="M9" s="66"/>
      <c r="N9" s="66"/>
      <c r="O9" s="66"/>
      <c r="P9" s="66"/>
      <c r="Q9" s="66"/>
      <c r="R9" s="66"/>
      <c r="S9" s="66"/>
    </row>
    <row r="10" spans="1:21" ht="14.25" customHeight="1" x14ac:dyDescent="0.2">
      <c r="A10" s="143"/>
      <c r="B10" s="120"/>
      <c r="C10" s="120"/>
      <c r="D10" s="120"/>
      <c r="E10" s="144" t="str">
        <f>IF(Semifinal!J12="SF2","SF2-2",IF(Semifinal!J12=Semifinal!E11,Semifinal!E13,Semifinal!E11))</f>
        <v>José de Castro</v>
      </c>
      <c r="F10" s="125">
        <v>6</v>
      </c>
      <c r="G10" s="145">
        <v>6</v>
      </c>
      <c r="H10" s="145"/>
      <c r="I10" s="121"/>
      <c r="J10" s="121"/>
      <c r="K10" s="66"/>
      <c r="L10" s="66"/>
      <c r="M10" s="66"/>
      <c r="N10" s="66"/>
      <c r="O10" s="66"/>
      <c r="P10" s="66"/>
      <c r="Q10" s="66"/>
      <c r="R10" s="66"/>
      <c r="S10" s="66"/>
    </row>
    <row r="11" spans="1:21" ht="24.75" customHeight="1" x14ac:dyDescent="0.3">
      <c r="A11" s="143"/>
      <c r="B11" s="120"/>
      <c r="C11" s="120"/>
      <c r="D11" s="120"/>
      <c r="E11" s="364" t="s">
        <v>107</v>
      </c>
      <c r="F11" s="364"/>
      <c r="G11" s="364"/>
      <c r="H11" s="365"/>
      <c r="I11" s="121"/>
      <c r="J11" s="121"/>
      <c r="K11" s="66"/>
      <c r="L11" s="66"/>
      <c r="M11" s="66"/>
      <c r="N11" s="66"/>
      <c r="O11" s="66"/>
      <c r="P11" s="66"/>
      <c r="Q11" s="66"/>
      <c r="R11" s="66"/>
      <c r="S11" s="66"/>
    </row>
    <row r="12" spans="1:21" ht="15" customHeight="1" thickBot="1" x14ac:dyDescent="0.25">
      <c r="A12" s="150"/>
      <c r="B12" s="151" t="s">
        <v>26</v>
      </c>
      <c r="C12" s="113"/>
      <c r="D12" s="66"/>
      <c r="E12" s="152"/>
      <c r="F12" s="152"/>
      <c r="G12" s="120"/>
      <c r="H12" s="120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spans="1:21" ht="15" customHeight="1" x14ac:dyDescent="0.2">
      <c r="A13" s="153"/>
      <c r="B13" s="341" t="s">
        <v>74</v>
      </c>
      <c r="C13" s="341"/>
      <c r="D13" s="341"/>
      <c r="E13" s="358" t="s">
        <v>23</v>
      </c>
      <c r="F13" s="358"/>
      <c r="G13" s="359" t="s">
        <v>68</v>
      </c>
      <c r="H13" s="359"/>
      <c r="I13" s="153"/>
      <c r="J13" s="154" t="s">
        <v>33</v>
      </c>
      <c r="K13" s="153"/>
      <c r="L13" s="153"/>
      <c r="M13" s="155"/>
      <c r="N13" s="156"/>
      <c r="O13" s="373" t="str">
        <f>IF(OR(J16="CAMPEÓN",J16=""),"","CAMPEÓN 2021 - XI COPA MASTER")</f>
        <v>CAMPEÓN 2021 - XI COPA MASTER</v>
      </c>
      <c r="P13" s="373"/>
      <c r="Q13" s="373"/>
      <c r="R13" s="373"/>
      <c r="S13" s="157"/>
    </row>
    <row r="14" spans="1:21" ht="16.5" customHeight="1" x14ac:dyDescent="0.2">
      <c r="A14" s="119"/>
      <c r="B14" s="120"/>
      <c r="C14" s="120"/>
      <c r="D14" s="120"/>
      <c r="E14" s="121"/>
      <c r="F14" s="158"/>
      <c r="G14" s="121"/>
      <c r="H14" s="121"/>
      <c r="I14" s="121"/>
      <c r="J14" s="121"/>
      <c r="K14" s="66"/>
      <c r="L14" s="66"/>
      <c r="M14" s="159"/>
      <c r="N14" s="88"/>
      <c r="O14" s="374"/>
      <c r="P14" s="374"/>
      <c r="Q14" s="374"/>
      <c r="R14" s="374"/>
      <c r="S14" s="160"/>
    </row>
    <row r="15" spans="1:21" ht="18" customHeight="1" x14ac:dyDescent="0.2">
      <c r="A15" s="119"/>
      <c r="B15" s="120"/>
      <c r="C15" s="120"/>
      <c r="D15" s="120"/>
      <c r="E15" s="161" t="str">
        <f>Semifinal!J8</f>
        <v>Sergio Soriano</v>
      </c>
      <c r="F15" s="125">
        <v>5</v>
      </c>
      <c r="G15" s="145">
        <v>1</v>
      </c>
      <c r="H15" s="145"/>
      <c r="I15" s="121"/>
      <c r="J15" s="121"/>
      <c r="K15" s="66"/>
      <c r="L15" s="66"/>
      <c r="M15" s="159"/>
      <c r="N15" s="88"/>
      <c r="O15" s="88"/>
      <c r="P15" s="88"/>
      <c r="Q15" s="88"/>
      <c r="R15" s="88"/>
      <c r="S15" s="160"/>
    </row>
    <row r="16" spans="1:21" ht="18" customHeight="1" x14ac:dyDescent="0.25">
      <c r="A16" s="180" t="str">
        <f ca="1">IF(OR(E16="en juego",E16="hoy!",E16="finalizado"),"Ø","")</f>
        <v>Ø</v>
      </c>
      <c r="B16" s="146" t="s">
        <v>172</v>
      </c>
      <c r="C16" s="147">
        <v>44548</v>
      </c>
      <c r="D16" s="162">
        <v>0.4375</v>
      </c>
      <c r="E16" s="362" t="str">
        <f ca="1">IF(OR(C16="",D16="",C16&lt;$L$4),"",IF(C16=$L$4,IF(AND(D16&lt;=$S$28,$S$28&lt;=(D16+0.08333333333)),"en juego",IF($S$28&lt;D16,"hoy!","finalizado")),IF($L$4&gt;C16,"finalizado","")))</f>
        <v>finalizado</v>
      </c>
      <c r="F16" s="362"/>
      <c r="G16" s="362"/>
      <c r="H16" s="363"/>
      <c r="I16" s="130"/>
      <c r="J16" s="354" t="str">
        <f>IF(AND(F15&lt;&gt;"",F17&lt;&gt;""),IF(OR(AND(F15&gt;F17,G15&gt;G17),AND(F15&gt;F17,H15&gt;H17),AND(G15&gt;G17,H15&gt;H17)),E15,IF(OR(AND(F15&lt;F17,G15&lt;G17),AND(F15&lt;F17,H15&lt;H17),AND(G15&lt;G17,H15&lt;H17)),E17,IF(F15&gt;F17,IF(G15&lt;&gt;"","CAMPEÓN",E15),IF(G15&gt;G17,"CAMPEÓN",E17)))),"CAMPEÓN")</f>
        <v>Javier Cabello</v>
      </c>
      <c r="K16" s="355"/>
      <c r="L16" s="356"/>
      <c r="M16" s="159"/>
      <c r="N16" s="88"/>
      <c r="O16" s="88"/>
      <c r="P16" s="88"/>
      <c r="Q16" s="88"/>
      <c r="R16" s="88"/>
      <c r="S16" s="160"/>
    </row>
    <row r="17" spans="1:19" ht="18" customHeight="1" x14ac:dyDescent="0.2">
      <c r="A17" s="119"/>
      <c r="B17" s="120"/>
      <c r="C17" s="120"/>
      <c r="D17" s="120"/>
      <c r="E17" s="161" t="str">
        <f>Semifinal!J12</f>
        <v>Javier Cabello</v>
      </c>
      <c r="F17" s="125">
        <v>7</v>
      </c>
      <c r="G17" s="145">
        <v>6</v>
      </c>
      <c r="H17" s="145"/>
      <c r="I17" s="357"/>
      <c r="J17" s="357"/>
      <c r="K17" s="357"/>
      <c r="L17" s="357"/>
      <c r="M17" s="159"/>
      <c r="N17" s="88"/>
      <c r="O17" s="88"/>
      <c r="P17" s="88"/>
      <c r="Q17" s="88"/>
      <c r="R17" s="88"/>
      <c r="S17" s="160"/>
    </row>
    <row r="18" spans="1:19" ht="15" customHeight="1" x14ac:dyDescent="0.2">
      <c r="A18" s="135"/>
      <c r="B18" s="121"/>
      <c r="C18" s="121"/>
      <c r="D18" s="121"/>
      <c r="E18" s="375" t="s">
        <v>108</v>
      </c>
      <c r="F18" s="375"/>
      <c r="G18" s="375"/>
      <c r="H18" s="376"/>
      <c r="I18" s="357"/>
      <c r="J18" s="357"/>
      <c r="K18" s="357"/>
      <c r="L18" s="357"/>
      <c r="M18" s="159"/>
      <c r="N18" s="88"/>
      <c r="O18" s="88"/>
      <c r="P18" s="88"/>
      <c r="Q18" s="88"/>
      <c r="R18" s="88"/>
      <c r="S18" s="160"/>
    </row>
    <row r="19" spans="1:19" ht="14.25" customHeight="1" x14ac:dyDescent="0.2">
      <c r="A19" s="135"/>
      <c r="B19" s="121"/>
      <c r="C19" s="121"/>
      <c r="D19" s="121"/>
      <c r="E19" s="377"/>
      <c r="F19" s="377"/>
      <c r="G19" s="377"/>
      <c r="H19" s="378"/>
      <c r="I19" s="121"/>
      <c r="J19" s="121"/>
      <c r="K19" s="66"/>
      <c r="L19" s="66"/>
      <c r="M19" s="159"/>
      <c r="N19" s="88"/>
      <c r="O19" s="88"/>
      <c r="P19" s="88"/>
      <c r="Q19" s="88"/>
      <c r="R19" s="88"/>
      <c r="S19" s="160"/>
    </row>
    <row r="20" spans="1:19" ht="14.25" customHeight="1" x14ac:dyDescent="0.2">
      <c r="A20" s="13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159"/>
      <c r="N20" s="88"/>
      <c r="O20" s="88"/>
      <c r="P20" s="88"/>
      <c r="Q20" s="88"/>
      <c r="R20" s="88"/>
      <c r="S20" s="160"/>
    </row>
    <row r="21" spans="1:19" ht="14.25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366" t="str">
        <f>IF(OR(J16="CAMPEÓN",J16=""),"","CLUB DE TENIS LINARES")</f>
        <v>CLUB DE TENIS LINARES</v>
      </c>
      <c r="N21" s="367"/>
      <c r="O21" s="367"/>
      <c r="P21" s="367"/>
      <c r="Q21" s="367"/>
      <c r="R21" s="367"/>
      <c r="S21" s="368"/>
    </row>
    <row r="22" spans="1:19" ht="15" customHeight="1" x14ac:dyDescent="0.2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369"/>
      <c r="N22" s="367"/>
      <c r="O22" s="367"/>
      <c r="P22" s="367"/>
      <c r="Q22" s="367"/>
      <c r="R22" s="367"/>
      <c r="S22" s="368"/>
    </row>
    <row r="23" spans="1:19" ht="14.25" customHeight="1" thickBot="1" x14ac:dyDescent="0.25">
      <c r="A23" s="66"/>
      <c r="B23" s="349" t="s">
        <v>105</v>
      </c>
      <c r="C23" s="349"/>
      <c r="D23" s="349"/>
      <c r="E23" s="350"/>
      <c r="F23" s="66"/>
      <c r="G23" s="66"/>
      <c r="H23" s="66"/>
      <c r="I23" s="66"/>
      <c r="J23" s="66"/>
      <c r="K23" s="66"/>
      <c r="L23" s="66"/>
      <c r="M23" s="370"/>
      <c r="N23" s="371"/>
      <c r="O23" s="371"/>
      <c r="P23" s="371"/>
      <c r="Q23" s="371"/>
      <c r="R23" s="371"/>
      <c r="S23" s="372"/>
    </row>
    <row r="24" spans="1:19" ht="14.25" customHeight="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1:19" ht="14.25" customHeight="1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5" customHeight="1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idden="1" x14ac:dyDescent="0.2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100">
        <f ca="1">HOUR(M4)</f>
        <v>12</v>
      </c>
      <c r="S27" s="100">
        <f ca="1">MINUTE(M4)</f>
        <v>32</v>
      </c>
    </row>
    <row r="28" spans="1:19" hidden="1" x14ac:dyDescent="0.2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100"/>
      <c r="S28" s="102">
        <f ca="1">TIME(R27,S27,0)</f>
        <v>0.52222222222222225</v>
      </c>
    </row>
    <row r="29" spans="1:19" ht="15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spans="1:19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spans="1:19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idden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idden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idden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idden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idden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idden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idden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hidden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idden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idden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idden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hidden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hidden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hidden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hidden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hidden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hidden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hidden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hidden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hidden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hidden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hidden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hidden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hidden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hidden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hidden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hidden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hidden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hidden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hidden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hidden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hidden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hidden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idden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8" hidden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8" hidden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8" hidden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8" hidden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8" hidden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  <row r="79" spans="1:18" hidden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8" hidden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hidden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hidden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 hidden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idden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hidden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idden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 hidden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 hidden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idden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idden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idden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 hidden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 hidden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 hidden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idden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 hidden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 hidden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hidden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idden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hidden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idden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 hidden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 hidden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 hidden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idden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 hidden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 hidden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 hidden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idden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 hidden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hidden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1:12" hidden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 hidden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 hidden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1:12" hidden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1:12" hidden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idden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 hidden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 hidden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hidden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hidden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hidden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hidden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12" hidden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idden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 hidden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idden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 hidden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hidden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hidden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idden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hidden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hidden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hidden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hidden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hidden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idden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hidden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hidden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idden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hidden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idden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hidden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hidden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hidden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idden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hidden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hidden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hidden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 hidden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 hidden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idden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 hidden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 hidden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idden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 hidden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 hidden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hidden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idden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 hidden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 hidden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idden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 hidden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 hidden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idden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 hidden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 hidden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hidden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idden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hidden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idden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 hidden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idden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 hidden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 hidden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 hidden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 hidden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idden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 hidden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 hidden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 hidden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 spans="1:12" hidden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idden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 hidden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 spans="1:12" hidden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spans="1:12" hidden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 spans="1:12" hidden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spans="1:12" hidden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idden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 hidden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 hidden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 hidden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 hidden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 spans="1:12" hidden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idden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 spans="1:12" hidden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 spans="1:12" hidden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idden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</row>
    <row r="199" spans="1:12" hidden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</row>
    <row r="200" spans="1:12" hidden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</row>
    <row r="201" spans="1:12" hidden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</row>
    <row r="202" spans="1:12" hidden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</row>
    <row r="203" spans="1:12" hidden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idden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</row>
    <row r="205" spans="1:12" hidden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</row>
    <row r="206" spans="1:12" hidden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idden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</row>
    <row r="208" spans="1:12" hidden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idden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1:12" hidden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</row>
    <row r="211" spans="1:12" hidden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</row>
    <row r="212" spans="1:12" hidden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</row>
    <row r="213" spans="1:12" hidden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idden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 spans="1:12" hidden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 spans="1:12" hidden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idden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</row>
    <row r="218" spans="1:12" hidden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</row>
    <row r="219" spans="1:12" hidden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</row>
    <row r="220" spans="1:12" hidden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</row>
    <row r="221" spans="1:12" hidden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idden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idden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</row>
    <row r="224" spans="1:12" hidden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idden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</row>
    <row r="226" spans="1:12" hidden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</row>
    <row r="227" spans="1:12" hidden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</row>
    <row r="228" spans="1:12" hidden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</row>
    <row r="229" spans="1:12" hidden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</row>
    <row r="230" spans="1:12" hidden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</row>
    <row r="231" spans="1:12" hidden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</row>
    <row r="232" spans="1:12" hidden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</row>
    <row r="233" spans="1:12" hidden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</row>
    <row r="234" spans="1:12" hidden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</row>
    <row r="235" spans="1:12" hidden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spans="1:12" hidden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</row>
    <row r="237" spans="1:12" hidden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</row>
    <row r="238" spans="1:12" hidden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</row>
    <row r="239" spans="1:12" hidden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</row>
    <row r="240" spans="1:12" hidden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</row>
    <row r="241" spans="1:12" hidden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</row>
    <row r="242" spans="1:12" hidden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</row>
    <row r="243" spans="1:12" hidden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</row>
    <row r="244" spans="1:12" hidden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</row>
    <row r="245" spans="1:12" hidden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</row>
    <row r="246" spans="1:12" hidden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</row>
    <row r="247" spans="1:12" hidden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</row>
    <row r="248" spans="1:12" hidden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idden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</row>
    <row r="250" spans="1:12" hidden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</row>
    <row r="251" spans="1:12" hidden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</row>
    <row r="252" spans="1:12" hidden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</row>
    <row r="253" spans="1:12" hidden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</row>
    <row r="254" spans="1:12" hidden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</row>
    <row r="255" spans="1:12" hidden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</row>
    <row r="256" spans="1:12" hidden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</row>
    <row r="257" spans="1:12" hidden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</row>
    <row r="258" spans="1:12" hidden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</row>
    <row r="259" spans="1:12" hidden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</row>
    <row r="260" spans="1:12" hidden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</row>
    <row r="261" spans="1:12" hidden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</row>
    <row r="262" spans="1:12" hidden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</row>
    <row r="263" spans="1:12" hidden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</row>
    <row r="264" spans="1:12" hidden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</row>
    <row r="265" spans="1:12" hidden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</row>
    <row r="266" spans="1:12" hidden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</row>
    <row r="267" spans="1:12" hidden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</row>
    <row r="268" spans="1:12" hidden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</row>
    <row r="269" spans="1:12" hidden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</row>
    <row r="270" spans="1:12" hidden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</row>
    <row r="271" spans="1:12" hidden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</row>
    <row r="272" spans="1:12" hidden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</row>
    <row r="273" spans="1:12" hidden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</row>
    <row r="274" spans="1:12" hidden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</row>
    <row r="275" spans="1:12" hidden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</row>
    <row r="276" spans="1:12" hidden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spans="1:12" hidden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</row>
    <row r="278" spans="1:12" hidden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</row>
    <row r="279" spans="1:12" hidden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</row>
    <row r="280" spans="1:12" hidden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1" spans="1:12" hidden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</row>
    <row r="282" spans="1:12" hidden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</row>
    <row r="283" spans="1:12" hidden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</row>
    <row r="284" spans="1:12" hidden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</row>
    <row r="285" spans="1:12" hidden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 spans="1:12" hidden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spans="1:12" hidden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 spans="1:12" hidden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spans="1:12" hidden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 spans="1:12" hidden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 spans="1:12" hidden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 spans="1:12" hidden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 spans="1:12" hidden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 spans="1:12" hidden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 spans="1:12" hidden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spans="1:12" hidden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 spans="1:12" hidden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spans="1:12" hidden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 spans="1:12" hidden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spans="1:12" hidden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 spans="1:12" hidden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spans="1:12" hidden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1:12" hidden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 spans="1:12" hidden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spans="1:12" hidden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 spans="1:12" hidden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spans="1:12" hidden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 spans="1:12" hidden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09" spans="1:12" hidden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 spans="1:12" hidden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</row>
    <row r="311" spans="1:12" hidden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 spans="1:12" hidden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</row>
    <row r="313" spans="1:12" hidden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 spans="1:12" hidden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</row>
    <row r="315" spans="1:12" hidden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 spans="1:12" hidden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</row>
    <row r="317" spans="1:12" hidden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18" spans="1:12" hidden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 spans="1:12" hidden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</row>
    <row r="320" spans="1:12" hidden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 spans="1:12" hidden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</row>
    <row r="322" spans="1:12" hidden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</row>
    <row r="323" spans="1:12" hidden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</row>
    <row r="324" spans="1:12" hidden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</row>
    <row r="325" spans="1:12" hidden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6" spans="1:12" hidden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 spans="1:12" hidden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</row>
    <row r="328" spans="1:12" hidden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 spans="1:12" hidden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</row>
    <row r="330" spans="1:12" hidden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</row>
    <row r="331" spans="1:12" hidden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2" spans="1:12" hidden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</row>
    <row r="333" spans="1:12" hidden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 spans="1:12" hidden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</row>
    <row r="335" spans="1:12" hidden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 spans="1:12" hidden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</row>
    <row r="337" spans="1:12" hidden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 spans="1:12" hidden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</row>
    <row r="339" spans="1:12" hidden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 spans="1:12" hidden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</row>
    <row r="341" spans="1:12" hidden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 spans="1:12" hidden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</row>
    <row r="343" spans="1:12" hidden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</row>
    <row r="344" spans="1:12" hidden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</row>
    <row r="345" spans="1:12" hidden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</row>
    <row r="346" spans="1:12" hidden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</row>
    <row r="347" spans="1:12" hidden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</row>
    <row r="348" spans="1:12" hidden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 spans="1:12" hidden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</row>
    <row r="350" spans="1:12" hidden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 spans="1:12" hidden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</row>
    <row r="352" spans="1:12" hidden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</row>
    <row r="353" spans="1:12" hidden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</row>
    <row r="354" spans="1:12" hidden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</row>
    <row r="355" spans="1:12" hidden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</row>
    <row r="356" spans="1:12" hidden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 spans="1:12" hidden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</row>
    <row r="358" spans="1:12" hidden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</row>
    <row r="359" spans="1:12" hidden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</row>
    <row r="360" spans="1:12" hidden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 spans="1:12" hidden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 spans="1:12" hidden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</row>
    <row r="363" spans="1:12" hidden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64" spans="1:12" hidden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</row>
    <row r="365" spans="1:12" hidden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 spans="1:12" hidden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</row>
    <row r="367" spans="1:12" hidden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</row>
    <row r="368" spans="1:12" hidden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</row>
    <row r="369" spans="1:12" hidden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</row>
    <row r="370" spans="1:12" hidden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1" spans="1:12" hidden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</row>
    <row r="372" spans="1:12" hidden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</row>
    <row r="373" spans="1:12" hidden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</row>
    <row r="374" spans="1:12" hidden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</row>
    <row r="375" spans="1:12" hidden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</row>
    <row r="376" spans="1:12" hidden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</row>
    <row r="377" spans="1:12" hidden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</row>
    <row r="378" spans="1:12" hidden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</row>
    <row r="379" spans="1:12" hidden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</row>
    <row r="380" spans="1:12" hidden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</row>
    <row r="381" spans="1:12" hidden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</row>
    <row r="382" spans="1:12" hidden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</row>
    <row r="383" spans="1:12" hidden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</row>
    <row r="384" spans="1:12" hidden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</row>
    <row r="385" spans="1:12" hidden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</row>
    <row r="386" spans="1:12" hidden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</row>
    <row r="387" spans="1:12" hidden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</row>
    <row r="388" spans="1:12" hidden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</row>
    <row r="389" spans="1:12" hidden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</row>
    <row r="390" spans="1:12" hidden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</row>
    <row r="391" spans="1:12" hidden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</row>
    <row r="392" spans="1:12" hidden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</row>
    <row r="393" spans="1:12" hidden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 spans="1:12" hidden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</row>
    <row r="395" spans="1:12" hidden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</row>
    <row r="396" spans="1:12" hidden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</row>
    <row r="397" spans="1:12" hidden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</row>
    <row r="398" spans="1:12" hidden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</row>
    <row r="399" spans="1:12" hidden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</row>
    <row r="400" spans="1:12" hidden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</row>
    <row r="401" spans="1:12" hidden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</row>
    <row r="402" spans="1:12" hidden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</row>
    <row r="403" spans="1:12" hidden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</row>
    <row r="404" spans="1:12" hidden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</row>
    <row r="405" spans="1:12" hidden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</row>
    <row r="406" spans="1:12" hidden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</row>
    <row r="407" spans="1:12" hidden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</row>
    <row r="408" spans="1:12" hidden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</row>
    <row r="409" spans="1:12" hidden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</row>
    <row r="410" spans="1:12" hidden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</row>
    <row r="411" spans="1:12" hidden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</row>
    <row r="412" spans="1:12" hidden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</row>
    <row r="413" spans="1:12" hidden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</row>
    <row r="414" spans="1:12" hidden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</row>
    <row r="415" spans="1:12" hidden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</row>
    <row r="416" spans="1:12" hidden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</row>
    <row r="417" spans="1:12" hidden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</row>
    <row r="418" spans="1:12" hidden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</row>
    <row r="419" spans="1:12" hidden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</row>
    <row r="420" spans="1:12" hidden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</row>
    <row r="421" spans="1:12" hidden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</row>
    <row r="422" spans="1:12" hidden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</row>
    <row r="423" spans="1:12" hidden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</row>
    <row r="424" spans="1:12" hidden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</row>
    <row r="425" spans="1:12" hidden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</row>
    <row r="426" spans="1:12" hidden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</row>
    <row r="427" spans="1:12" hidden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</row>
    <row r="428" spans="1:12" hidden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</row>
    <row r="429" spans="1:12" hidden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</row>
    <row r="430" spans="1:12" hidden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</row>
    <row r="431" spans="1:12" hidden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</row>
    <row r="432" spans="1:12" hidden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</row>
    <row r="433" spans="1:12" hidden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</row>
    <row r="434" spans="1:12" hidden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</row>
    <row r="435" spans="1:12" hidden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</row>
    <row r="436" spans="1:12" hidden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</row>
    <row r="437" spans="1:12" hidden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</row>
    <row r="438" spans="1:12" hidden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</row>
    <row r="439" spans="1:12" hidden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</row>
    <row r="440" spans="1:12" hidden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</row>
    <row r="441" spans="1:12" hidden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</row>
    <row r="442" spans="1:12" hidden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</row>
    <row r="443" spans="1:12" hidden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</row>
    <row r="444" spans="1:12" hidden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</row>
    <row r="445" spans="1:12" hidden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</row>
    <row r="446" spans="1:12" hidden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</row>
    <row r="447" spans="1:12" hidden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</row>
    <row r="448" spans="1:12" hidden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</row>
    <row r="449" spans="1:12" hidden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</row>
    <row r="450" spans="1:12" hidden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</row>
    <row r="451" spans="1:12" hidden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</row>
    <row r="452" spans="1:12" hidden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</row>
    <row r="453" spans="1:12" hidden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</row>
    <row r="454" spans="1:12" hidden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</row>
    <row r="455" spans="1:12" hidden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</row>
    <row r="456" spans="1:12" hidden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</row>
    <row r="457" spans="1:12" hidden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</row>
    <row r="458" spans="1:12" hidden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</row>
    <row r="459" spans="1:12" hidden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</row>
    <row r="460" spans="1:12" hidden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</row>
    <row r="461" spans="1:12" hidden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</row>
    <row r="462" spans="1:12" hidden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</row>
    <row r="463" spans="1:12" hidden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</row>
    <row r="464" spans="1:12" hidden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</row>
    <row r="465" spans="1:12" hidden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</row>
    <row r="466" spans="1:12" hidden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</row>
    <row r="467" spans="1:12" hidden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</row>
    <row r="468" spans="1:12" hidden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</row>
    <row r="469" spans="1:12" hidden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</row>
    <row r="470" spans="1:12" hidden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</row>
    <row r="471" spans="1:12" hidden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</row>
    <row r="472" spans="1:12" hidden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</row>
    <row r="473" spans="1:12" hidden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</row>
    <row r="474" spans="1:12" hidden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</row>
    <row r="475" spans="1:12" hidden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</row>
    <row r="476" spans="1:12" hidden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</row>
    <row r="477" spans="1:12" hidden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</row>
    <row r="478" spans="1:12" hidden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</row>
    <row r="479" spans="1:12" hidden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</row>
    <row r="480" spans="1:12" hidden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</row>
    <row r="481" spans="1:12" hidden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</row>
    <row r="482" spans="1:12" hidden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</row>
    <row r="483" spans="1:12" hidden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</row>
    <row r="484" spans="1:12" hidden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</row>
    <row r="485" spans="1:12" hidden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</row>
    <row r="486" spans="1:12" hidden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</row>
    <row r="487" spans="1:12" hidden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</row>
    <row r="488" spans="1:12" hidden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</row>
    <row r="489" spans="1:12" hidden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</row>
    <row r="490" spans="1:12" hidden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</row>
    <row r="491" spans="1:12" hidden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</row>
    <row r="492" spans="1:12" hidden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</row>
    <row r="493" spans="1:12" hidden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</row>
    <row r="494" spans="1:12" hidden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</row>
    <row r="495" spans="1:12" hidden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</row>
    <row r="496" spans="1:12" hidden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</row>
    <row r="497" spans="1:12" hidden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</row>
    <row r="498" spans="1:12" hidden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</row>
    <row r="499" spans="1:12" hidden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</row>
    <row r="500" spans="1:12" hidden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</row>
    <row r="501" spans="1:12" hidden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</row>
    <row r="502" spans="1:12" hidden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</row>
    <row r="503" spans="1:12" hidden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</row>
    <row r="504" spans="1:12" hidden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</row>
    <row r="505" spans="1:12" hidden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</row>
    <row r="506" spans="1:12" hidden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</row>
    <row r="507" spans="1:12" hidden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</row>
    <row r="508" spans="1:12" hidden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</row>
    <row r="509" spans="1:12" hidden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</row>
    <row r="510" spans="1:12" hidden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</row>
    <row r="511" spans="1:12" hidden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</row>
    <row r="512" spans="1:12" hidden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</row>
    <row r="513" spans="1:12" hidden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</row>
    <row r="514" spans="1:12" hidden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</row>
    <row r="515" spans="1:12" hidden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</row>
    <row r="516" spans="1:12" hidden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</row>
    <row r="517" spans="1:12" hidden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</row>
    <row r="518" spans="1:12" hidden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</row>
    <row r="519" spans="1:12" hidden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</row>
    <row r="520" spans="1:12" hidden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</row>
    <row r="521" spans="1:12" hidden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</row>
    <row r="522" spans="1:12" hidden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3" spans="1:12" hidden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</row>
    <row r="524" spans="1:12" hidden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</row>
    <row r="525" spans="1:12" hidden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</row>
    <row r="526" spans="1:12" hidden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</row>
    <row r="527" spans="1:12" hidden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</row>
    <row r="528" spans="1:12" hidden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</row>
    <row r="529" spans="1:12" hidden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</row>
    <row r="530" spans="1:12" hidden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</row>
    <row r="531" spans="1:12" hidden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</row>
    <row r="532" spans="1:12" hidden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</row>
    <row r="533" spans="1:12" hidden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 spans="1:12" hidden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</row>
    <row r="535" spans="1:12" hidden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</row>
    <row r="536" spans="1:12" hidden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</row>
    <row r="537" spans="1:12" hidden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 spans="1:12" hidden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 spans="1:12" hidden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</row>
    <row r="540" spans="1:12" hidden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</row>
    <row r="541" spans="1:12" hidden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 spans="1:12" hidden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</row>
    <row r="543" spans="1:12" hidden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 spans="1:12" hidden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</row>
    <row r="545" spans="1:12" hidden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</row>
    <row r="546" spans="1:12" hidden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 spans="1:12" hidden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 spans="1:12" hidden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</row>
    <row r="549" spans="1:12" hidden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</row>
    <row r="550" spans="1:12" hidden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</row>
    <row r="551" spans="1:12" hidden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</row>
    <row r="552" spans="1:12" hidden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</row>
    <row r="553" spans="1:12" hidden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</row>
    <row r="554" spans="1:12" hidden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</row>
    <row r="555" spans="1:12" hidden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</row>
    <row r="556" spans="1:12" hidden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 spans="1:12" hidden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</row>
    <row r="558" spans="1:12" hidden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</row>
    <row r="559" spans="1:12" hidden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</row>
    <row r="560" spans="1:12" hidden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</row>
    <row r="561" spans="1:12" hidden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 spans="1:12" hidden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 spans="1:12" hidden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</row>
    <row r="564" spans="1:12" hidden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</row>
    <row r="565" spans="1:12" hidden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</row>
    <row r="566" spans="1:12" hidden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 spans="1:12" hidden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 spans="1:12" hidden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 spans="1:12" hidden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</row>
    <row r="570" spans="1:12" hidden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</row>
    <row r="571" spans="1:12" hidden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</row>
    <row r="572" spans="1:12" hidden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</row>
    <row r="573" spans="1:12" hidden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</row>
    <row r="574" spans="1:12" hidden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</row>
    <row r="575" spans="1:12" hidden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</row>
    <row r="576" spans="1:12" hidden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</row>
    <row r="577" spans="1:12" hidden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</row>
    <row r="578" spans="1:12" hidden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 spans="1:12" hidden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</row>
    <row r="580" spans="1:12" hidden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</row>
    <row r="581" spans="1:12" hidden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</row>
    <row r="582" spans="1:12" hidden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</row>
    <row r="583" spans="1:12" hidden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</row>
    <row r="584" spans="1:12" hidden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 spans="1:12" hidden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 spans="1:12" hidden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</row>
    <row r="587" spans="1:12" hidden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</row>
    <row r="588" spans="1:12" hidden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</row>
    <row r="589" spans="1:12" hidden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</row>
    <row r="590" spans="1:12" hidden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 spans="1:12" hidden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 spans="1:12" hidden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</row>
    <row r="593" spans="1:12" hidden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</row>
    <row r="594" spans="1:12" hidden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 spans="1:12" hidden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</row>
    <row r="596" spans="1:12" hidden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 spans="1:12" hidden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</row>
    <row r="598" spans="1:12" hidden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</row>
    <row r="599" spans="1:12" hidden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</row>
    <row r="600" spans="1:12" hidden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spans="1:12" hidden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</row>
    <row r="602" spans="1:12" hidden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</row>
    <row r="603" spans="1:12" hidden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</row>
    <row r="604" spans="1:12" hidden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</row>
    <row r="605" spans="1:12" hidden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</row>
    <row r="606" spans="1:12" hidden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spans="1:12" hidden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</row>
    <row r="608" spans="1:12" hidden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</row>
    <row r="609" spans="1:12" hidden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</row>
    <row r="610" spans="1:12" hidden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</row>
    <row r="611" spans="1:12" hidden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</row>
    <row r="612" spans="1:12" hidden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 spans="1:12" hidden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</row>
    <row r="614" spans="1:12" hidden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</row>
    <row r="615" spans="1:12" hidden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 spans="1:12" hidden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</row>
    <row r="617" spans="1:12" hidden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</row>
    <row r="618" spans="1:12" hidden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</row>
    <row r="619" spans="1:12" hidden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</row>
    <row r="620" spans="1:12" hidden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 spans="1:12" hidden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 spans="1:12" hidden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</row>
    <row r="623" spans="1:12" hidden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</row>
    <row r="624" spans="1:12" hidden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 spans="1:12" hidden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</row>
    <row r="626" spans="1:12" hidden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 spans="1:12" hidden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</row>
    <row r="628" spans="1:12" hidden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</row>
    <row r="629" spans="1:12" hidden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</row>
    <row r="630" spans="1:12" hidden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spans="1:12" hidden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</row>
    <row r="632" spans="1:12" hidden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</row>
    <row r="633" spans="1:12" hidden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</row>
    <row r="634" spans="1:12" hidden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</row>
    <row r="635" spans="1:12" hidden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</row>
    <row r="636" spans="1:12" hidden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spans="1:12" hidden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</row>
    <row r="638" spans="1:12" hidden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</row>
    <row r="639" spans="1:12" hidden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</row>
    <row r="640" spans="1:12" hidden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 spans="1:12" hidden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</row>
    <row r="642" spans="1:12" hidden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 spans="1:12" hidden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</row>
    <row r="644" spans="1:12" hidden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</row>
    <row r="645" spans="1:12" hidden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 spans="1:12" hidden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 spans="1:12" hidden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</row>
    <row r="648" spans="1:12" hidden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</row>
    <row r="649" spans="1:12" hidden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</row>
    <row r="650" spans="1:12" hidden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</row>
    <row r="651" spans="1:12" hidden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 spans="1:12" hidden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</row>
    <row r="653" spans="1:12" hidden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</row>
    <row r="654" spans="1:12" hidden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</row>
    <row r="655" spans="1:12" hidden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</row>
    <row r="656" spans="1:12" hidden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</row>
    <row r="657" spans="1:12" hidden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</row>
    <row r="658" spans="1:12" hidden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 spans="1:12" hidden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</row>
    <row r="660" spans="1:12" hidden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</row>
    <row r="661" spans="1:12" hidden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</row>
    <row r="662" spans="1:12" hidden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</row>
    <row r="663" spans="1:12" hidden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</row>
    <row r="664" spans="1:12" hidden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</row>
    <row r="665" spans="1:12" hidden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</row>
    <row r="666" spans="1:12" hidden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</row>
    <row r="667" spans="1:12" hidden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</row>
    <row r="668" spans="1:12" hidden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 spans="1:12" hidden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 spans="1:12" hidden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</row>
    <row r="671" spans="1:12" hidden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</row>
    <row r="672" spans="1:12" hidden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</row>
    <row r="673" spans="1:12" hidden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</row>
    <row r="674" spans="1:12" hidden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 spans="1:12" hidden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</row>
    <row r="676" spans="1:12" hidden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</row>
    <row r="677" spans="1:12" hidden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</row>
    <row r="678" spans="1:12" hidden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</row>
    <row r="679" spans="1:12" hidden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</row>
    <row r="680" spans="1:12" hidden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</row>
    <row r="681" spans="1:12" hidden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</row>
    <row r="682" spans="1:12" hidden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</row>
    <row r="683" spans="1:12" hidden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</row>
    <row r="684" spans="1:12" hidden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</row>
    <row r="685" spans="1:12" hidden="1" x14ac:dyDescent="0.2">
      <c r="L685" s="9"/>
    </row>
    <row r="686" spans="1:12" hidden="1" x14ac:dyDescent="0.2">
      <c r="L686" s="9"/>
    </row>
    <row r="687" spans="1:12" hidden="1" x14ac:dyDescent="0.2">
      <c r="L687" s="9"/>
    </row>
    <row r="688" spans="1:12" hidden="1" x14ac:dyDescent="0.2">
      <c r="L688" s="9"/>
    </row>
    <row r="689" spans="12:12" hidden="1" x14ac:dyDescent="0.2">
      <c r="L689" s="9"/>
    </row>
    <row r="690" spans="12:12" hidden="1" x14ac:dyDescent="0.2">
      <c r="L690" s="9"/>
    </row>
    <row r="691" spans="12:12" hidden="1" x14ac:dyDescent="0.2">
      <c r="L691" s="9"/>
    </row>
    <row r="692" spans="12:12" hidden="1" x14ac:dyDescent="0.2">
      <c r="L692" s="9"/>
    </row>
    <row r="693" spans="12:12" hidden="1" x14ac:dyDescent="0.2">
      <c r="L693" s="9"/>
    </row>
  </sheetData>
  <sheetProtection sheet="1" objects="1" scenarios="1"/>
  <mergeCells count="18">
    <mergeCell ref="B23:E23"/>
    <mergeCell ref="M21:S23"/>
    <mergeCell ref="O13:R14"/>
    <mergeCell ref="I18:L18"/>
    <mergeCell ref="E16:H16"/>
    <mergeCell ref="E18:H19"/>
    <mergeCell ref="O4:P4"/>
    <mergeCell ref="J16:L16"/>
    <mergeCell ref="A1:O2"/>
    <mergeCell ref="I17:L17"/>
    <mergeCell ref="B13:D13"/>
    <mergeCell ref="E13:F13"/>
    <mergeCell ref="G13:H13"/>
    <mergeCell ref="E6:F6"/>
    <mergeCell ref="B6:D6"/>
    <mergeCell ref="G6:H6"/>
    <mergeCell ref="E9:H9"/>
    <mergeCell ref="E11:H11"/>
  </mergeCells>
  <phoneticPr fontId="26" type="noConversion"/>
  <conditionalFormatting sqref="J16">
    <cfRule type="cellIs" dxfId="9" priority="6" stopIfTrue="1" operator="notEqual">
      <formula>"CAMPEON"</formula>
    </cfRule>
  </conditionalFormatting>
  <conditionalFormatting sqref="D16 A9:D9">
    <cfRule type="expression" dxfId="8" priority="7" stopIfTrue="1">
      <formula>IF(OR($E$9="en juego",$E$9="hoy!"),1,0)</formula>
    </cfRule>
  </conditionalFormatting>
  <conditionalFormatting sqref="A16:B16 D16">
    <cfRule type="expression" dxfId="7" priority="8" stopIfTrue="1">
      <formula>IF(OR($E$16="en juego",$E$16="hoy!"),1,0)</formula>
    </cfRule>
  </conditionalFormatting>
  <conditionalFormatting sqref="E8">
    <cfRule type="cellIs" dxfId="6" priority="12" stopIfTrue="1" operator="notEqual">
      <formula>"SF1-2"</formula>
    </cfRule>
  </conditionalFormatting>
  <conditionalFormatting sqref="E10">
    <cfRule type="cellIs" dxfId="5" priority="13" stopIfTrue="1" operator="notEqual">
      <formula>"SF2-2"</formula>
    </cfRule>
  </conditionalFormatting>
  <conditionalFormatting sqref="E15">
    <cfRule type="cellIs" dxfId="4" priority="14" stopIfTrue="1" operator="notEqual">
      <formula>"SF1"</formula>
    </cfRule>
  </conditionalFormatting>
  <conditionalFormatting sqref="E17">
    <cfRule type="cellIs" dxfId="3" priority="15" stopIfTrue="1" operator="notEqual">
      <formula>"SF2"</formula>
    </cfRule>
  </conditionalFormatting>
  <conditionalFormatting sqref="B23 E16 E9 E11 E18">
    <cfRule type="expression" dxfId="2" priority="16" stopIfTrue="1">
      <formula>IF(OR($E$8="hoy!",$E$8="en juego"),1,0)</formula>
    </cfRule>
  </conditionalFormatting>
  <conditionalFormatting sqref="C16">
    <cfRule type="expression" dxfId="1" priority="2" stopIfTrue="1">
      <formula>IF(OR($E$9="en juego",$E$9="hoy!"),1,0)</formula>
    </cfRule>
  </conditionalFormatting>
  <conditionalFormatting sqref="D9">
    <cfRule type="expression" dxfId="0" priority="1" stopIfTrue="1">
      <formula>IF(OR($E$16="en juego",$E$16="hoy!"),1,0)</formula>
    </cfRule>
  </conditionalFormatting>
  <dataValidations count="3">
    <dataValidation type="custom" showErrorMessage="1" errorTitle="Dato no válido" error="Debe introducir antes el resultado del partido." sqref="G8 G10 G15 G17">
      <formula1>IF(F8&lt;&gt;"",1,0)</formula1>
    </dataValidation>
    <dataValidation type="whole" allowBlank="1" showInputMessage="1" showErrorMessage="1" errorTitle="Dato no válido." error="Ingrese sólo un número entero_x000a_entre 0 y 99." sqref="F8 F15">
      <formula1>0</formula1>
      <formula2>99</formula2>
    </dataValidation>
    <dataValidation type="whole" allowBlank="1" showInputMessage="1" showErrorMessage="1" errorTitle="Dato no válido" error="Ingrese sólo un número entero_x000a_entre 0 y 99." sqref="F17 F10">
      <formula1>0</formula1>
      <formula2>99</formula2>
    </dataValidation>
  </dataValidations>
  <hyperlinks>
    <hyperlink ref="O4" location="Menu!A1" display="Menu Principal"/>
  </hyperlinks>
  <pageMargins left="0.75" right="0.75" top="1" bottom="1" header="0" footer="0"/>
  <pageSetup paperSize="9" scale="68" orientation="landscape" horizontalDpi="300" verticalDpi="300" r:id="rId1"/>
  <headerFooter alignWithMargins="0"/>
  <rowBreaks count="1" manualBreakCount="1">
    <brk id="35" max="2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AH80"/>
  <sheetViews>
    <sheetView showGridLines="0" showRowColHeaders="0" topLeftCell="A6" workbookViewId="0">
      <selection activeCell="D64" sqref="D64:G65"/>
    </sheetView>
  </sheetViews>
  <sheetFormatPr baseColWidth="10" defaultColWidth="0" defaultRowHeight="12.75" zeroHeight="1" x14ac:dyDescent="0.2"/>
  <cols>
    <col min="1" max="1" width="2.140625" style="20" customWidth="1"/>
    <col min="2" max="2" width="13" style="20" bestFit="1" customWidth="1"/>
    <col min="3" max="5" width="3.7109375" style="20" customWidth="1"/>
    <col min="6" max="6" width="10" style="20" customWidth="1"/>
    <col min="7" max="8" width="2.28515625" style="20" customWidth="1"/>
    <col min="9" max="9" width="12.5703125" style="20" bestFit="1" customWidth="1"/>
    <col min="10" max="12" width="3.7109375" style="20" customWidth="1"/>
    <col min="13" max="13" width="10" style="20" customWidth="1"/>
    <col min="14" max="15" width="2.28515625" style="20" customWidth="1"/>
    <col min="16" max="16" width="10" style="20" customWidth="1"/>
    <col min="17" max="19" width="3.7109375" style="20" customWidth="1"/>
    <col min="20" max="20" width="3.28515625" style="20" customWidth="1"/>
    <col min="21" max="22" width="2.28515625" style="20" customWidth="1"/>
    <col min="23" max="23" width="13" style="20" bestFit="1" customWidth="1"/>
    <col min="24" max="26" width="3.7109375" style="20" customWidth="1"/>
    <col min="27" max="27" width="2.42578125" style="20" customWidth="1"/>
    <col min="28" max="28" width="1" style="20" customWidth="1"/>
    <col min="29" max="29" width="10" style="20" customWidth="1"/>
    <col min="30" max="30" width="6.7109375" style="20" customWidth="1"/>
    <col min="31" max="31" width="11.42578125" style="20" customWidth="1"/>
    <col min="32" max="32" width="12.140625" style="20" bestFit="1" customWidth="1"/>
    <col min="33" max="33" width="2.7109375" style="20" customWidth="1"/>
    <col min="34" max="34" width="11.42578125" style="20" customWidth="1"/>
    <col min="35" max="16384" width="0" style="20" hidden="1"/>
  </cols>
  <sheetData>
    <row r="1" spans="1:32" ht="25.5" hidden="1" x14ac:dyDescent="0.35">
      <c r="B1" s="388" t="str">
        <f>Menu!B2</f>
        <v>"XI COPA MASTER" C. T. LINARES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2" ht="15" hidden="1" x14ac:dyDescent="0.2">
      <c r="B2" s="389" t="str">
        <f>Menu!B3</f>
        <v>del 25 de octubre al 15 de noviembre de 2021 *fase previa*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</row>
    <row r="3" spans="1:32" hidden="1" x14ac:dyDescent="0.2">
      <c r="B3" s="390" t="str">
        <f>Menu!B4</f>
        <v>LINARES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</row>
    <row r="4" spans="1:32" hidden="1" x14ac:dyDescent="0.2"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</row>
    <row r="5" spans="1:32" ht="24.75" hidden="1" x14ac:dyDescent="0.2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2" ht="25.5" thickBo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2" ht="9.9499999999999993" customHeight="1" thickBot="1" x14ac:dyDescent="0.25">
      <c r="A7" s="192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6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3"/>
    </row>
    <row r="8" spans="1:32" ht="13.5" thickBot="1" x14ac:dyDescent="0.25">
      <c r="A8" s="193"/>
      <c r="B8" s="382" t="s">
        <v>1</v>
      </c>
      <c r="C8" s="383"/>
      <c r="D8" s="383"/>
      <c r="E8" s="383"/>
      <c r="F8" s="384"/>
      <c r="G8" s="187"/>
      <c r="H8" s="187"/>
      <c r="I8" s="382" t="s">
        <v>2</v>
      </c>
      <c r="J8" s="383"/>
      <c r="K8" s="383"/>
      <c r="L8" s="383"/>
      <c r="M8" s="384"/>
      <c r="N8" s="187"/>
      <c r="O8" s="19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3"/>
      <c r="AC8" s="163"/>
      <c r="AD8" s="163"/>
      <c r="AE8" s="163"/>
      <c r="AF8" s="163"/>
    </row>
    <row r="9" spans="1:32" ht="5.0999999999999996" customHeight="1" x14ac:dyDescent="0.2">
      <c r="A9" s="193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9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3"/>
      <c r="AC9" s="163"/>
      <c r="AD9" s="163"/>
      <c r="AE9" s="163"/>
      <c r="AF9" s="163"/>
    </row>
    <row r="10" spans="1:32" x14ac:dyDescent="0.2">
      <c r="A10" s="193"/>
      <c r="B10" s="188" t="str">
        <f>'- A -'!B6</f>
        <v>José de Castro</v>
      </c>
      <c r="C10" s="186" t="str">
        <f>IF('- A -'!C6&lt;&gt;"",'- A -'!C6,"")</f>
        <v>6/1</v>
      </c>
      <c r="D10" s="186" t="str">
        <f>IF('- A -'!D6&lt;&gt;"",'- A -'!D6,"")</f>
        <v>6/1</v>
      </c>
      <c r="E10" s="186" t="str">
        <f>IF('- A -'!E6&lt;&gt;"",'- A -'!E6,"")</f>
        <v>-</v>
      </c>
      <c r="F10" s="188" t="str">
        <f>'- A -'!F6</f>
        <v>Jesús García</v>
      </c>
      <c r="G10" s="189"/>
      <c r="H10" s="189"/>
      <c r="I10" s="188" t="str">
        <f>'- B -'!B6</f>
        <v>Javier Cabello</v>
      </c>
      <c r="J10" s="186" t="str">
        <f>IF('- B -'!C6&lt;&gt;"",'- B -'!C6,"")</f>
        <v>6/4</v>
      </c>
      <c r="K10" s="186" t="str">
        <f>IF('- B -'!D6&lt;&gt;"",'- B -'!D6,"")</f>
        <v>6/4</v>
      </c>
      <c r="L10" s="186" t="str">
        <f>IF('- B -'!E6&lt;&gt;"",'- B -'!E6,"")</f>
        <v>-</v>
      </c>
      <c r="M10" s="188" t="str">
        <f>'- B -'!F6</f>
        <v>Fernando Sanz</v>
      </c>
      <c r="N10" s="189"/>
      <c r="O10" s="19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3"/>
      <c r="AC10" s="163"/>
      <c r="AD10" s="163"/>
      <c r="AE10" s="163"/>
      <c r="AF10" s="163"/>
    </row>
    <row r="11" spans="1:32" ht="5.0999999999999996" customHeight="1" x14ac:dyDescent="0.2">
      <c r="A11" s="193"/>
      <c r="B11" s="188"/>
      <c r="C11" s="190"/>
      <c r="D11" s="190"/>
      <c r="E11" s="190"/>
      <c r="F11" s="188"/>
      <c r="G11" s="189"/>
      <c r="H11" s="189"/>
      <c r="I11" s="191"/>
      <c r="J11" s="190"/>
      <c r="K11" s="190"/>
      <c r="L11" s="190"/>
      <c r="M11" s="191"/>
      <c r="N11" s="189"/>
      <c r="O11" s="19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3"/>
      <c r="AC11" s="163"/>
      <c r="AD11" s="163"/>
      <c r="AE11" s="163"/>
      <c r="AF11" s="163"/>
    </row>
    <row r="12" spans="1:32" x14ac:dyDescent="0.2">
      <c r="A12" s="193"/>
      <c r="B12" s="188" t="str">
        <f>'- A -'!B7</f>
        <v>Antonio M. Caro</v>
      </c>
      <c r="C12" s="186" t="str">
        <f>IF('- A -'!C7&lt;&gt;"",'- A -'!C7,"")</f>
        <v>0/6</v>
      </c>
      <c r="D12" s="186" t="str">
        <f>IF('- A -'!D7&lt;&gt;"",'- A -'!D7,"")</f>
        <v>1/6</v>
      </c>
      <c r="E12" s="186" t="str">
        <f>IF('- A -'!E7&lt;&gt;"",'- A -'!E7,"")</f>
        <v>-</v>
      </c>
      <c r="F12" s="188" t="str">
        <f>'- A -'!F7</f>
        <v>Sergio Soriano</v>
      </c>
      <c r="G12" s="189"/>
      <c r="H12" s="189"/>
      <c r="I12" s="188" t="str">
        <f>'- B -'!B7</f>
        <v>Isma Barrionuevo</v>
      </c>
      <c r="J12" s="186" t="str">
        <f>IF('- B -'!C7&lt;&gt;"",'- B -'!C7,"")</f>
        <v>6/3</v>
      </c>
      <c r="K12" s="186" t="str">
        <f>IF('- B -'!D7&lt;&gt;"",'- B -'!D7,"")</f>
        <v>7/5</v>
      </c>
      <c r="L12" s="186" t="str">
        <f>IF('- B -'!E7&lt;&gt;"",'- B -'!E7,"")</f>
        <v>-</v>
      </c>
      <c r="M12" s="188" t="str">
        <f>'- B -'!F7</f>
        <v>Luis C. Torres</v>
      </c>
      <c r="N12" s="189"/>
      <c r="O12" s="19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3"/>
      <c r="AC12" s="163"/>
      <c r="AD12" s="163"/>
      <c r="AE12" s="163"/>
      <c r="AF12" s="163"/>
    </row>
    <row r="13" spans="1:32" ht="5.0999999999999996" customHeight="1" x14ac:dyDescent="0.2">
      <c r="A13" s="193"/>
      <c r="B13" s="188"/>
      <c r="C13" s="190"/>
      <c r="D13" s="190"/>
      <c r="E13" s="190"/>
      <c r="F13" s="188"/>
      <c r="G13" s="189"/>
      <c r="H13" s="189"/>
      <c r="I13" s="191"/>
      <c r="J13" s="190"/>
      <c r="K13" s="190"/>
      <c r="L13" s="190"/>
      <c r="M13" s="191"/>
      <c r="N13" s="189"/>
      <c r="O13" s="19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3"/>
      <c r="AC13" s="163"/>
      <c r="AD13" s="163"/>
      <c r="AE13" s="163"/>
      <c r="AF13" s="163"/>
    </row>
    <row r="14" spans="1:32" x14ac:dyDescent="0.2">
      <c r="A14" s="193"/>
      <c r="B14" s="188" t="str">
        <f>'- A -'!B8</f>
        <v>José de Castro</v>
      </c>
      <c r="C14" s="186" t="str">
        <f>IF('- A -'!C8&lt;&gt;"",'- A -'!C8,"")</f>
        <v>6/0</v>
      </c>
      <c r="D14" s="186" t="str">
        <f>IF('- A -'!D8&lt;&gt;"",'- A -'!D8,"")</f>
        <v>6/2</v>
      </c>
      <c r="E14" s="186" t="str">
        <f>IF('- A -'!E8&lt;&gt;"",'- A -'!E8,"")</f>
        <v>-</v>
      </c>
      <c r="F14" s="188" t="str">
        <f>'- A -'!F8</f>
        <v>Antonio M. Caro</v>
      </c>
      <c r="G14" s="189"/>
      <c r="H14" s="189"/>
      <c r="I14" s="188" t="str">
        <f>'- B -'!B8</f>
        <v>Javier Cabello</v>
      </c>
      <c r="J14" s="186" t="str">
        <f>IF('- B -'!C8&lt;&gt;"",'- B -'!C8,"")</f>
        <v>6/1</v>
      </c>
      <c r="K14" s="186" t="str">
        <f>IF('- B -'!D8&lt;&gt;"",'- B -'!D8,"")</f>
        <v>6/4</v>
      </c>
      <c r="L14" s="186" t="str">
        <f>IF('- B -'!E8&lt;&gt;"",'- B -'!E8,"")</f>
        <v>-</v>
      </c>
      <c r="M14" s="188" t="str">
        <f>'- B -'!F8</f>
        <v>Isma Barrionuevo</v>
      </c>
      <c r="N14" s="189"/>
      <c r="O14" s="19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3"/>
      <c r="AC14" s="163"/>
      <c r="AD14" s="163"/>
      <c r="AE14" s="163"/>
      <c r="AF14" s="163"/>
    </row>
    <row r="15" spans="1:32" ht="5.0999999999999996" customHeight="1" x14ac:dyDescent="0.2">
      <c r="A15" s="193"/>
      <c r="B15" s="188"/>
      <c r="C15" s="190"/>
      <c r="D15" s="190"/>
      <c r="E15" s="190"/>
      <c r="F15" s="188"/>
      <c r="G15" s="189"/>
      <c r="H15" s="189"/>
      <c r="I15" s="191"/>
      <c r="J15" s="190"/>
      <c r="K15" s="190"/>
      <c r="L15" s="190"/>
      <c r="M15" s="191"/>
      <c r="N15" s="189"/>
      <c r="O15" s="19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3"/>
      <c r="AC15" s="163"/>
      <c r="AD15" s="163"/>
      <c r="AE15" s="163"/>
      <c r="AF15" s="163"/>
    </row>
    <row r="16" spans="1:32" x14ac:dyDescent="0.2">
      <c r="A16" s="193"/>
      <c r="B16" s="188" t="str">
        <f>'- A -'!B9</f>
        <v>Jesús García</v>
      </c>
      <c r="C16" s="186" t="str">
        <f>IF('- A -'!C9&lt;&gt;"",'- A -'!C9,"")</f>
        <v>2/6</v>
      </c>
      <c r="D16" s="186" t="str">
        <f>IF('- A -'!D9&lt;&gt;"",'- A -'!D9,"")</f>
        <v>2/6</v>
      </c>
      <c r="E16" s="186" t="str">
        <f>IF('- A -'!E9&lt;&gt;"",'- A -'!E9,"")</f>
        <v>-</v>
      </c>
      <c r="F16" s="188" t="str">
        <f>'- A -'!F9</f>
        <v>Sergio Soriano</v>
      </c>
      <c r="G16" s="189"/>
      <c r="H16" s="189"/>
      <c r="I16" s="188" t="str">
        <f>'- B -'!B9</f>
        <v>Fernando Sanz</v>
      </c>
      <c r="J16" s="186" t="str">
        <f>IF('- B -'!C9&lt;&gt;"",'- B -'!C9,"")</f>
        <v>7/5</v>
      </c>
      <c r="K16" s="186" t="str">
        <f>IF('- B -'!D9&lt;&gt;"",'- B -'!D9,"")</f>
        <v>1/6</v>
      </c>
      <c r="L16" s="186" t="str">
        <f>IF('- B -'!E9&lt;&gt;"",'- B -'!E9,"")</f>
        <v>7/6</v>
      </c>
      <c r="M16" s="188" t="str">
        <f>'- B -'!F9</f>
        <v>Luis C. Torres</v>
      </c>
      <c r="N16" s="189"/>
      <c r="O16" s="19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3"/>
      <c r="AC16" s="163"/>
      <c r="AD16" s="163"/>
      <c r="AE16" s="163"/>
      <c r="AF16" s="163"/>
    </row>
    <row r="17" spans="1:32" ht="5.0999999999999996" customHeight="1" x14ac:dyDescent="0.2">
      <c r="A17" s="193"/>
      <c r="B17" s="188"/>
      <c r="C17" s="190"/>
      <c r="D17" s="190"/>
      <c r="E17" s="190"/>
      <c r="F17" s="188"/>
      <c r="G17" s="189"/>
      <c r="H17" s="189"/>
      <c r="I17" s="188"/>
      <c r="J17" s="190"/>
      <c r="K17" s="190"/>
      <c r="L17" s="190"/>
      <c r="M17" s="188"/>
      <c r="N17" s="189"/>
      <c r="O17" s="19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3"/>
      <c r="AC17" s="163"/>
      <c r="AD17" s="163"/>
      <c r="AE17" s="163"/>
      <c r="AF17" s="163"/>
    </row>
    <row r="18" spans="1:32" x14ac:dyDescent="0.2">
      <c r="A18" s="193"/>
      <c r="B18" s="188" t="str">
        <f>'- A -'!B10</f>
        <v>Jesús García</v>
      </c>
      <c r="C18" s="186" t="str">
        <f>IF('- A -'!C10&lt;&gt;"",'- A -'!C10,"")</f>
        <v>2/6</v>
      </c>
      <c r="D18" s="186" t="str">
        <f>IF('- A -'!D10&lt;&gt;"",'- A -'!D10,"")</f>
        <v>4/6</v>
      </c>
      <c r="E18" s="186" t="str">
        <f>IF('- A -'!E10&lt;&gt;"",'- A -'!E10,"")</f>
        <v>-</v>
      </c>
      <c r="F18" s="188" t="str">
        <f>'- A -'!F10</f>
        <v>Antonio M. Caro</v>
      </c>
      <c r="G18" s="189"/>
      <c r="H18" s="189"/>
      <c r="I18" s="188" t="str">
        <f>'- B -'!B10</f>
        <v>Fernando Sanz</v>
      </c>
      <c r="J18" s="186" t="str">
        <f>IF('- B -'!C10&lt;&gt;"",'- B -'!C10,"")</f>
        <v>1/6</v>
      </c>
      <c r="K18" s="186" t="str">
        <f>IF('- B -'!D10&lt;&gt;"",'- B -'!D10,"")</f>
        <v>6/2</v>
      </c>
      <c r="L18" s="186" t="str">
        <f>IF('- B -'!E10&lt;&gt;"",'- B -'!E10,"")</f>
        <v>1/6</v>
      </c>
      <c r="M18" s="188" t="str">
        <f>'- B -'!F10</f>
        <v>Isma Barrionuevo</v>
      </c>
      <c r="N18" s="189"/>
      <c r="O18" s="19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3"/>
      <c r="AC18" s="163"/>
      <c r="AD18" s="163"/>
      <c r="AE18" s="163"/>
      <c r="AF18" s="163"/>
    </row>
    <row r="19" spans="1:32" ht="5.0999999999999996" customHeight="1" x14ac:dyDescent="0.2">
      <c r="A19" s="193"/>
      <c r="B19" s="188"/>
      <c r="C19" s="190"/>
      <c r="D19" s="190"/>
      <c r="E19" s="190"/>
      <c r="F19" s="188"/>
      <c r="G19" s="189"/>
      <c r="H19" s="189"/>
      <c r="I19" s="188"/>
      <c r="J19" s="190"/>
      <c r="K19" s="190"/>
      <c r="L19" s="190"/>
      <c r="M19" s="188"/>
      <c r="N19" s="189"/>
      <c r="O19" s="19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3"/>
      <c r="AC19" s="163"/>
      <c r="AD19" s="163"/>
      <c r="AE19" s="163"/>
      <c r="AF19" s="163"/>
    </row>
    <row r="20" spans="1:32" x14ac:dyDescent="0.2">
      <c r="A20" s="193"/>
      <c r="B20" s="188" t="str">
        <f>'- A -'!B11</f>
        <v>Sergio Soriano</v>
      </c>
      <c r="C20" s="186" t="str">
        <f>IF('- A -'!C11&lt;&gt;"",'- A -'!C11,"")</f>
        <v>6/1</v>
      </c>
      <c r="D20" s="186" t="str">
        <f>IF('- A -'!D11&lt;&gt;"",'- A -'!D11,"")</f>
        <v>3/6</v>
      </c>
      <c r="E20" s="186" t="str">
        <f>IF('- A -'!E11&lt;&gt;"",'- A -'!E11,"")</f>
        <v>7/6</v>
      </c>
      <c r="F20" s="188" t="str">
        <f>'- A -'!F11</f>
        <v>José de Castro</v>
      </c>
      <c r="G20" s="189"/>
      <c r="H20" s="189"/>
      <c r="I20" s="188" t="str">
        <f>'- B -'!B11</f>
        <v>Luis C. Torres</v>
      </c>
      <c r="J20" s="186" t="str">
        <f>IF('- B -'!C11&lt;&gt;"",'- B -'!C11,"")</f>
        <v>5/7</v>
      </c>
      <c r="K20" s="186" t="str">
        <f>IF('- B -'!D11&lt;&gt;"",'- B -'!D11,"")</f>
        <v>1/6</v>
      </c>
      <c r="L20" s="186" t="str">
        <f>IF('- B -'!E11&lt;&gt;"",'- B -'!E11,"")</f>
        <v>-</v>
      </c>
      <c r="M20" s="188" t="str">
        <f>'- B -'!F11</f>
        <v>Javier Cabello</v>
      </c>
      <c r="N20" s="189"/>
      <c r="O20" s="19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3"/>
      <c r="AC20" s="163"/>
      <c r="AD20" s="163"/>
      <c r="AE20" s="163"/>
      <c r="AF20" s="163"/>
    </row>
    <row r="21" spans="1:32" ht="5.0999999999999996" customHeight="1" thickBot="1" x14ac:dyDescent="0.25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8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3"/>
      <c r="AC21" s="163"/>
      <c r="AD21" s="163"/>
      <c r="AE21" s="163"/>
      <c r="AF21" s="163"/>
    </row>
    <row r="22" spans="1:32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3"/>
      <c r="AC22" s="163"/>
      <c r="AD22" s="163"/>
      <c r="AE22" s="163"/>
      <c r="AF22" s="163"/>
    </row>
    <row r="23" spans="1:32" ht="4.5" customHeight="1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3"/>
      <c r="AC23" s="163"/>
      <c r="AD23" s="163"/>
      <c r="AE23" s="163"/>
      <c r="AF23" s="163"/>
    </row>
    <row r="24" spans="1:32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3"/>
      <c r="AC24" s="163"/>
      <c r="AD24" s="163"/>
      <c r="AE24" s="163"/>
      <c r="AF24" s="163"/>
    </row>
    <row r="25" spans="1:32" ht="4.5" customHeight="1" x14ac:dyDescent="0.2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3"/>
      <c r="AC25" s="163"/>
      <c r="AD25" s="163"/>
      <c r="AE25" s="163"/>
      <c r="AF25" s="163"/>
    </row>
    <row r="26" spans="1:32" ht="12.75" hidden="1" customHeight="1" x14ac:dyDescent="0.2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3"/>
      <c r="AC26" s="163"/>
      <c r="AD26" s="163"/>
      <c r="AE26" s="163"/>
      <c r="AF26" s="163"/>
    </row>
    <row r="27" spans="1:32" ht="4.5" hidden="1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3"/>
      <c r="AC27" s="163"/>
      <c r="AD27" s="163"/>
      <c r="AE27" s="163"/>
      <c r="AF27" s="163"/>
    </row>
    <row r="28" spans="1:32" ht="12.75" hidden="1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3"/>
      <c r="AC28" s="163"/>
      <c r="AD28" s="163"/>
      <c r="AE28" s="163"/>
      <c r="AF28" s="163"/>
    </row>
    <row r="29" spans="1:32" ht="4.5" hidden="1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3"/>
      <c r="AC29" s="163"/>
      <c r="AD29" s="163"/>
      <c r="AE29" s="163"/>
      <c r="AF29" s="163"/>
    </row>
    <row r="30" spans="1:32" hidden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3"/>
      <c r="AC30" s="163"/>
      <c r="AD30" s="163"/>
      <c r="AE30" s="163"/>
      <c r="AF30" s="163"/>
    </row>
    <row r="31" spans="1:32" ht="4.5" hidden="1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3"/>
      <c r="AC31" s="163"/>
      <c r="AD31" s="163"/>
      <c r="AE31" s="163"/>
      <c r="AF31" s="163"/>
    </row>
    <row r="32" spans="1:32" hidden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3"/>
      <c r="AC32" s="163"/>
      <c r="AD32" s="163"/>
      <c r="AE32" s="163"/>
      <c r="AF32" s="163"/>
    </row>
    <row r="33" spans="1:34" ht="4.5" hidden="1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3"/>
      <c r="AC33" s="163"/>
      <c r="AD33" s="163"/>
      <c r="AE33" s="163"/>
      <c r="AF33" s="163"/>
    </row>
    <row r="34" spans="1:34" hidden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/>
      <c r="S34" s="165"/>
      <c r="T34" s="165"/>
      <c r="U34" s="165"/>
      <c r="V34" s="165"/>
      <c r="W34" s="165"/>
      <c r="X34" s="165"/>
      <c r="Y34" s="165"/>
      <c r="Z34" s="165"/>
      <c r="AA34" s="165"/>
      <c r="AB34" s="163"/>
      <c r="AC34" s="163"/>
      <c r="AD34" s="163"/>
      <c r="AE34" s="163"/>
      <c r="AF34" s="163"/>
    </row>
    <row r="35" spans="1:34" ht="9.75" hidden="1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3"/>
      <c r="AC35" s="163"/>
      <c r="AD35" s="163"/>
      <c r="AE35" s="163"/>
      <c r="AF35" s="163"/>
    </row>
    <row r="36" spans="1:34" hidden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3"/>
      <c r="AC36" s="163"/>
      <c r="AD36" s="163"/>
      <c r="AE36" s="163"/>
      <c r="AF36" s="163"/>
    </row>
    <row r="37" spans="1:34" ht="4.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3"/>
      <c r="AC37" s="163"/>
      <c r="AD37" s="163"/>
      <c r="AE37" s="163"/>
      <c r="AF37" s="163"/>
    </row>
    <row r="38" spans="1:34" s="21" customFormat="1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6"/>
      <c r="AC38" s="166"/>
      <c r="AD38" s="166"/>
      <c r="AE38" s="166"/>
      <c r="AF38" s="166"/>
    </row>
    <row r="39" spans="1:34" s="21" customFormat="1" ht="6" customHeight="1" x14ac:dyDescent="0.2">
      <c r="A39" s="165"/>
      <c r="B39" s="165"/>
      <c r="C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6"/>
      <c r="AC39" s="166"/>
      <c r="AD39" s="166"/>
      <c r="AE39" s="166"/>
      <c r="AF39" s="166"/>
    </row>
    <row r="40" spans="1:34" s="21" customFormat="1" ht="6" customHeight="1" thickBot="1" x14ac:dyDescent="0.25">
      <c r="A40" s="165"/>
      <c r="B40" s="165"/>
      <c r="C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6"/>
      <c r="AC40" s="166"/>
      <c r="AD40" s="166"/>
      <c r="AE40" s="166"/>
      <c r="AF40" s="166"/>
    </row>
    <row r="41" spans="1:34" s="21" customFormat="1" ht="6" customHeight="1" x14ac:dyDescent="0.2">
      <c r="A41" s="166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207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11"/>
      <c r="AB41" s="208"/>
      <c r="AC41" s="208"/>
      <c r="AD41" s="208"/>
      <c r="AE41" s="208"/>
      <c r="AF41" s="208"/>
      <c r="AG41" s="217"/>
      <c r="AH41" s="213"/>
    </row>
    <row r="42" spans="1:34" s="21" customFormat="1" ht="6" customHeight="1" thickBot="1" x14ac:dyDescent="0.25">
      <c r="A42" s="166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20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218"/>
      <c r="AH42" s="213"/>
    </row>
    <row r="43" spans="1:34" s="21" customFormat="1" ht="12.75" customHeight="1" thickBot="1" x14ac:dyDescent="0.25">
      <c r="A43" s="166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209"/>
      <c r="O43" s="189"/>
      <c r="P43" s="382" t="s">
        <v>103</v>
      </c>
      <c r="Q43" s="383"/>
      <c r="R43" s="383"/>
      <c r="S43" s="383"/>
      <c r="T43" s="384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218"/>
      <c r="AH43" s="213"/>
    </row>
    <row r="44" spans="1:34" s="21" customFormat="1" ht="6" customHeight="1" x14ac:dyDescent="0.2">
      <c r="A44" s="166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20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218"/>
      <c r="AH44" s="213"/>
    </row>
    <row r="45" spans="1:34" s="21" customFormat="1" ht="6" customHeight="1" x14ac:dyDescent="0.2">
      <c r="A45" s="166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209"/>
      <c r="O45" s="194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218"/>
      <c r="AH45" s="213"/>
    </row>
    <row r="46" spans="1:34" s="21" customFormat="1" ht="6" customHeight="1" x14ac:dyDescent="0.2">
      <c r="A46" s="166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379" t="str">
        <f>Semifinal!E7</f>
        <v>Sergio Soriano</v>
      </c>
      <c r="O46" s="380"/>
      <c r="P46" s="381"/>
      <c r="Q46" s="386">
        <f>IF(Semifinal!F7&lt;&gt;"",Semifinal!F7,"")</f>
        <v>7</v>
      </c>
      <c r="R46" s="386">
        <f>IF(Semifinal!G7&lt;&gt;"",Semifinal!G7,"")</f>
        <v>6</v>
      </c>
      <c r="S46" s="386" t="str">
        <f>IF(Semifinal!H7&lt;&gt;"",Semifinal!H7,"")</f>
        <v/>
      </c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218"/>
      <c r="AH46" s="213"/>
    </row>
    <row r="47" spans="1:34" s="21" customFormat="1" ht="6" customHeight="1" x14ac:dyDescent="0.2">
      <c r="A47" s="166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385"/>
      <c r="O47" s="380"/>
      <c r="P47" s="381"/>
      <c r="Q47" s="387"/>
      <c r="R47" s="387"/>
      <c r="S47" s="387"/>
      <c r="T47" s="200"/>
      <c r="U47" s="201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218"/>
      <c r="AH47" s="213"/>
    </row>
    <row r="48" spans="1:34" s="21" customFormat="1" ht="12.75" customHeight="1" thickBot="1" x14ac:dyDescent="0.25">
      <c r="A48" s="166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379" t="str">
        <f>Semifinal!E9</f>
        <v>Isma Barrionuevo</v>
      </c>
      <c r="O48" s="380"/>
      <c r="P48" s="381"/>
      <c r="Q48" s="186">
        <f>IF(Semifinal!F9&lt;&gt;"",Semifinal!F9,"")</f>
        <v>6</v>
      </c>
      <c r="R48" s="186">
        <f>IF(Semifinal!G9&lt;&gt;"",Semifinal!G9,"")</f>
        <v>2</v>
      </c>
      <c r="S48" s="186" t="str">
        <f>IF(Semifinal!H9&lt;&gt;"",Semifinal!H9,"")</f>
        <v/>
      </c>
      <c r="T48" s="202"/>
      <c r="U48" s="203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218"/>
      <c r="AH48" s="213"/>
    </row>
    <row r="49" spans="1:34" s="21" customFormat="1" ht="6" customHeight="1" x14ac:dyDescent="0.2">
      <c r="A49" s="166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209"/>
      <c r="O49" s="194"/>
      <c r="P49" s="190"/>
      <c r="Q49" s="189"/>
      <c r="R49" s="189"/>
      <c r="S49" s="189"/>
      <c r="T49" s="204"/>
      <c r="U49" s="203"/>
      <c r="V49" s="189"/>
      <c r="W49" s="423" t="s">
        <v>0</v>
      </c>
      <c r="X49" s="424"/>
      <c r="Y49" s="424"/>
      <c r="Z49" s="424"/>
      <c r="AA49" s="425"/>
      <c r="AB49" s="189"/>
      <c r="AC49" s="400" t="s">
        <v>36</v>
      </c>
      <c r="AD49" s="401"/>
      <c r="AE49" s="402"/>
      <c r="AF49" s="403"/>
      <c r="AG49" s="218"/>
      <c r="AH49" s="213"/>
    </row>
    <row r="50" spans="1:34" s="21" customFormat="1" ht="6" customHeight="1" thickBot="1" x14ac:dyDescent="0.25">
      <c r="A50" s="166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209"/>
      <c r="O50" s="194"/>
      <c r="P50" s="190"/>
      <c r="Q50" s="189"/>
      <c r="R50" s="189"/>
      <c r="S50" s="189"/>
      <c r="T50" s="189"/>
      <c r="U50" s="203"/>
      <c r="V50" s="189"/>
      <c r="W50" s="426"/>
      <c r="X50" s="427"/>
      <c r="Y50" s="427"/>
      <c r="Z50" s="427"/>
      <c r="AA50" s="428"/>
      <c r="AB50" s="189"/>
      <c r="AC50" s="404"/>
      <c r="AD50" s="405"/>
      <c r="AE50" s="406"/>
      <c r="AF50" s="407"/>
      <c r="AG50" s="218"/>
      <c r="AH50" s="213"/>
    </row>
    <row r="51" spans="1:34" s="21" customFormat="1" ht="6" customHeight="1" x14ac:dyDescent="0.2">
      <c r="A51" s="166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209"/>
      <c r="O51" s="194"/>
      <c r="P51" s="190"/>
      <c r="Q51" s="189"/>
      <c r="R51" s="189"/>
      <c r="S51" s="189"/>
      <c r="T51" s="189"/>
      <c r="U51" s="203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218"/>
      <c r="AH51" s="213"/>
    </row>
    <row r="52" spans="1:34" s="21" customFormat="1" ht="6" customHeight="1" x14ac:dyDescent="0.2">
      <c r="A52" s="166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209"/>
      <c r="O52" s="194"/>
      <c r="P52" s="190"/>
      <c r="Q52" s="189"/>
      <c r="R52" s="189"/>
      <c r="S52" s="189"/>
      <c r="T52" s="189"/>
      <c r="U52" s="203"/>
      <c r="V52" s="189"/>
      <c r="W52" s="189"/>
      <c r="X52" s="189"/>
      <c r="Y52" s="189"/>
      <c r="Z52" s="189"/>
      <c r="AA52" s="189"/>
      <c r="AB52" s="189"/>
      <c r="AC52" s="210"/>
      <c r="AD52" s="210"/>
      <c r="AE52" s="189"/>
      <c r="AF52" s="189"/>
      <c r="AG52" s="218"/>
      <c r="AH52" s="213"/>
    </row>
    <row r="53" spans="1:34" s="21" customFormat="1" ht="12.75" customHeight="1" x14ac:dyDescent="0.2">
      <c r="A53" s="166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209"/>
      <c r="O53" s="194"/>
      <c r="P53" s="190"/>
      <c r="Q53" s="189"/>
      <c r="R53" s="189"/>
      <c r="S53" s="189"/>
      <c r="T53" s="189"/>
      <c r="U53" s="203"/>
      <c r="V53" s="189"/>
      <c r="W53" s="186" t="str">
        <f>'3er puesto y FINAL'!E15</f>
        <v>Sergio Soriano</v>
      </c>
      <c r="X53" s="186">
        <f>IF('3er puesto y FINAL'!F15&lt;&gt;"",'3er puesto y FINAL'!F15,"")</f>
        <v>5</v>
      </c>
      <c r="Y53" s="186">
        <f>IF('3er puesto y FINAL'!G15&lt;&gt;"",'3er puesto y FINAL'!G15,"")</f>
        <v>1</v>
      </c>
      <c r="Z53" s="186" t="str">
        <f>IF('3er puesto y FINAL'!H15&lt;&gt;"",'3er puesto y FINAL'!H15,"")</f>
        <v/>
      </c>
      <c r="AA53" s="200"/>
      <c r="AB53" s="201"/>
      <c r="AC53" s="408" t="str">
        <f>'3er puesto y FINAL'!J16</f>
        <v>Javier Cabello</v>
      </c>
      <c r="AD53" s="409"/>
      <c r="AE53" s="410">
        <v>2015</v>
      </c>
      <c r="AF53" s="417">
        <v>2021</v>
      </c>
      <c r="AG53" s="218"/>
      <c r="AH53" s="213"/>
    </row>
    <row r="54" spans="1:34" s="21" customFormat="1" ht="6" customHeight="1" x14ac:dyDescent="0.2">
      <c r="A54" s="166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209"/>
      <c r="O54" s="194"/>
      <c r="P54" s="190"/>
      <c r="Q54" s="189"/>
      <c r="R54" s="189"/>
      <c r="S54" s="189"/>
      <c r="T54" s="189"/>
      <c r="U54" s="203"/>
      <c r="V54" s="205"/>
      <c r="W54" s="391" t="str">
        <f>'3er puesto y FINAL'!E17</f>
        <v>Javier Cabello</v>
      </c>
      <c r="X54" s="391">
        <f>IF('3er puesto y FINAL'!F17&lt;&gt;"",'3er puesto y FINAL'!F17,"")</f>
        <v>7</v>
      </c>
      <c r="Y54" s="386">
        <f>IF('3er puesto y FINAL'!G17&lt;&gt;"",'3er puesto y FINAL'!G17,"")</f>
        <v>6</v>
      </c>
      <c r="Z54" s="386" t="str">
        <f>IF('3er puesto y FINAL'!H17&lt;&gt;"",'3er puesto y FINAL'!H17,"")</f>
        <v/>
      </c>
      <c r="AA54" s="189"/>
      <c r="AB54" s="189"/>
      <c r="AC54" s="411"/>
      <c r="AD54" s="412"/>
      <c r="AE54" s="413"/>
      <c r="AF54" s="418"/>
      <c r="AG54" s="218"/>
      <c r="AH54" s="213"/>
    </row>
    <row r="55" spans="1:34" s="21" customFormat="1" ht="6" customHeight="1" x14ac:dyDescent="0.2">
      <c r="A55" s="166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209"/>
      <c r="O55" s="194"/>
      <c r="P55" s="190"/>
      <c r="Q55" s="189"/>
      <c r="R55" s="189"/>
      <c r="S55" s="189"/>
      <c r="T55" s="189"/>
      <c r="U55" s="203"/>
      <c r="V55" s="189"/>
      <c r="W55" s="391"/>
      <c r="X55" s="391"/>
      <c r="Y55" s="387"/>
      <c r="Z55" s="387"/>
      <c r="AA55" s="189"/>
      <c r="AB55" s="189"/>
      <c r="AC55" s="414"/>
      <c r="AD55" s="415"/>
      <c r="AE55" s="416"/>
      <c r="AF55" s="419"/>
      <c r="AG55" s="218"/>
      <c r="AH55" s="213"/>
    </row>
    <row r="56" spans="1:34" s="21" customFormat="1" ht="12.75" customHeight="1" thickBot="1" x14ac:dyDescent="0.25">
      <c r="A56" s="166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209"/>
      <c r="O56" s="194"/>
      <c r="P56" s="190"/>
      <c r="Q56" s="189"/>
      <c r="R56" s="189"/>
      <c r="S56" s="189"/>
      <c r="T56" s="189"/>
      <c r="U56" s="203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218"/>
      <c r="AH56" s="213"/>
    </row>
    <row r="57" spans="1:34" s="21" customFormat="1" ht="12.75" customHeight="1" thickBot="1" x14ac:dyDescent="0.25">
      <c r="A57" s="166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209"/>
      <c r="O57" s="194"/>
      <c r="P57" s="190"/>
      <c r="Q57" s="189"/>
      <c r="R57" s="189"/>
      <c r="S57" s="189"/>
      <c r="T57" s="189"/>
      <c r="U57" s="203"/>
      <c r="V57" s="189"/>
      <c r="W57" s="382" t="s">
        <v>35</v>
      </c>
      <c r="X57" s="383"/>
      <c r="Y57" s="383"/>
      <c r="Z57" s="383"/>
      <c r="AA57" s="384"/>
      <c r="AB57" s="189"/>
      <c r="AC57" s="189"/>
      <c r="AD57" s="189"/>
      <c r="AE57" s="189"/>
      <c r="AF57" s="189"/>
      <c r="AG57" s="218"/>
      <c r="AH57" s="213"/>
    </row>
    <row r="58" spans="1:34" s="21" customFormat="1" ht="12.75" customHeight="1" x14ac:dyDescent="0.2">
      <c r="A58" s="166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209"/>
      <c r="O58" s="194"/>
      <c r="P58" s="190"/>
      <c r="Q58" s="189"/>
      <c r="R58" s="189"/>
      <c r="S58" s="189"/>
      <c r="T58" s="189"/>
      <c r="U58" s="203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218"/>
      <c r="AH58" s="213"/>
    </row>
    <row r="59" spans="1:34" s="21" customFormat="1" ht="6" customHeight="1" x14ac:dyDescent="0.2">
      <c r="A59" s="166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209"/>
      <c r="O59" s="194"/>
      <c r="P59" s="190"/>
      <c r="Q59" s="189"/>
      <c r="R59" s="189"/>
      <c r="S59" s="189"/>
      <c r="T59" s="189"/>
      <c r="U59" s="203"/>
      <c r="V59" s="205"/>
      <c r="W59" s="392" t="str">
        <f>'3er puesto y FINAL'!E8</f>
        <v>Isma Barrionuevo</v>
      </c>
      <c r="X59" s="392">
        <f>IF('3er puesto y FINAL'!F8&lt;&gt;"",'3er puesto y FINAL'!F8,"")</f>
        <v>2</v>
      </c>
      <c r="Y59" s="386">
        <f>IF('3er puesto y FINAL'!G8&lt;&gt;"",'3er puesto y FINAL'!G8,"")</f>
        <v>1</v>
      </c>
      <c r="Z59" s="386" t="str">
        <f>IF('3er puesto y FINAL'!H8&lt;&gt;"",'3er puesto y FINAL'!H8,"")</f>
        <v/>
      </c>
      <c r="AA59" s="420"/>
      <c r="AB59" s="421"/>
      <c r="AC59" s="421"/>
      <c r="AD59" s="189"/>
      <c r="AE59" s="189"/>
      <c r="AF59" s="189"/>
      <c r="AG59" s="218"/>
      <c r="AH59" s="213"/>
    </row>
    <row r="60" spans="1:34" s="21" customFormat="1" ht="6" customHeight="1" x14ac:dyDescent="0.2">
      <c r="A60" s="166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209"/>
      <c r="O60" s="194"/>
      <c r="P60" s="190"/>
      <c r="Q60" s="189"/>
      <c r="R60" s="189"/>
      <c r="S60" s="189"/>
      <c r="T60" s="189"/>
      <c r="U60" s="203"/>
      <c r="V60" s="189"/>
      <c r="W60" s="393"/>
      <c r="X60" s="393"/>
      <c r="Y60" s="387"/>
      <c r="Z60" s="387"/>
      <c r="AA60" s="422"/>
      <c r="AB60" s="421"/>
      <c r="AC60" s="421"/>
      <c r="AD60" s="189"/>
      <c r="AE60" s="189"/>
      <c r="AF60" s="189"/>
      <c r="AG60" s="218"/>
      <c r="AH60" s="213"/>
    </row>
    <row r="61" spans="1:34" s="21" customFormat="1" ht="6" customHeight="1" x14ac:dyDescent="0.2">
      <c r="A61" s="166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209"/>
      <c r="O61" s="194"/>
      <c r="P61" s="190"/>
      <c r="Q61" s="189"/>
      <c r="R61" s="189"/>
      <c r="S61" s="189"/>
      <c r="T61" s="189"/>
      <c r="U61" s="203"/>
      <c r="V61" s="189"/>
      <c r="W61" s="392" t="str">
        <f>'3er puesto y FINAL'!E10</f>
        <v>José de Castro</v>
      </c>
      <c r="X61" s="392">
        <f>IF('3er puesto y FINAL'!F10&lt;&gt;"",'3er puesto y FINAL'!F10,"")</f>
        <v>6</v>
      </c>
      <c r="Y61" s="386">
        <f>IF('3er puesto y FINAL'!G10&lt;&gt;"",'3er puesto y FINAL'!G10,"")</f>
        <v>6</v>
      </c>
      <c r="Z61" s="386" t="str">
        <f>IF('3er puesto y FINAL'!H10&lt;&gt;"",'3er puesto y FINAL'!H10,"")</f>
        <v/>
      </c>
      <c r="AA61" s="189"/>
      <c r="AB61" s="189"/>
      <c r="AC61" s="189"/>
      <c r="AD61" s="189"/>
      <c r="AE61" s="189"/>
      <c r="AF61" s="189"/>
      <c r="AG61" s="218"/>
      <c r="AH61" s="213"/>
    </row>
    <row r="62" spans="1:34" s="21" customFormat="1" ht="6" customHeight="1" x14ac:dyDescent="0.2">
      <c r="A62" s="166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209"/>
      <c r="O62" s="194"/>
      <c r="P62" s="190"/>
      <c r="Q62" s="189"/>
      <c r="R62" s="189"/>
      <c r="S62" s="189"/>
      <c r="T62" s="189"/>
      <c r="U62" s="203"/>
      <c r="V62" s="189"/>
      <c r="W62" s="393"/>
      <c r="X62" s="393"/>
      <c r="Y62" s="387"/>
      <c r="Z62" s="387"/>
      <c r="AA62" s="189"/>
      <c r="AB62" s="189"/>
      <c r="AC62" s="189"/>
      <c r="AD62" s="189"/>
      <c r="AE62" s="189"/>
      <c r="AF62" s="189"/>
      <c r="AG62" s="218"/>
      <c r="AH62" s="213"/>
    </row>
    <row r="63" spans="1:34" s="21" customFormat="1" ht="12.75" customHeight="1" x14ac:dyDescent="0.2">
      <c r="A63" s="166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209"/>
      <c r="O63" s="194"/>
      <c r="P63" s="190"/>
      <c r="Q63" s="189"/>
      <c r="R63" s="189"/>
      <c r="S63" s="189"/>
      <c r="T63" s="189"/>
      <c r="U63" s="203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218"/>
      <c r="AH63" s="213"/>
    </row>
    <row r="64" spans="1:34" s="21" customFormat="1" ht="6" customHeight="1" x14ac:dyDescent="0.2">
      <c r="A64" s="166"/>
      <c r="B64" s="165"/>
      <c r="C64" s="165"/>
      <c r="D64" s="394" t="s">
        <v>31</v>
      </c>
      <c r="E64" s="395"/>
      <c r="F64" s="395"/>
      <c r="G64" s="396"/>
      <c r="H64" s="165"/>
      <c r="I64" s="165"/>
      <c r="J64" s="165"/>
      <c r="K64" s="165"/>
      <c r="L64" s="165"/>
      <c r="M64" s="165"/>
      <c r="N64" s="379" t="str">
        <f>Semifinal!E11</f>
        <v>Javier Cabello</v>
      </c>
      <c r="O64" s="380"/>
      <c r="P64" s="381"/>
      <c r="Q64" s="392">
        <f>IF(Semifinal!F11&lt;&gt;"",Semifinal!F11,"")</f>
        <v>5</v>
      </c>
      <c r="R64" s="392">
        <f>IF(Semifinal!G11&lt;&gt;"",Semifinal!G11,"")</f>
        <v>7</v>
      </c>
      <c r="S64" s="392">
        <f>IF(Semifinal!H11&lt;&gt;"",Semifinal!H11,"")</f>
        <v>6</v>
      </c>
      <c r="T64" s="189"/>
      <c r="U64" s="203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218"/>
      <c r="AH64" s="213"/>
    </row>
    <row r="65" spans="1:34" s="21" customFormat="1" ht="6" customHeight="1" x14ac:dyDescent="0.2">
      <c r="A65" s="166"/>
      <c r="B65" s="165"/>
      <c r="C65" s="165"/>
      <c r="D65" s="397"/>
      <c r="E65" s="398"/>
      <c r="F65" s="398"/>
      <c r="G65" s="399"/>
      <c r="H65" s="165"/>
      <c r="I65" s="165"/>
      <c r="J65" s="165"/>
      <c r="K65" s="165"/>
      <c r="L65" s="165"/>
      <c r="M65" s="165"/>
      <c r="N65" s="385"/>
      <c r="O65" s="380"/>
      <c r="P65" s="381"/>
      <c r="Q65" s="393"/>
      <c r="R65" s="393"/>
      <c r="S65" s="393"/>
      <c r="T65" s="200"/>
      <c r="U65" s="206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218"/>
      <c r="AH65" s="213"/>
    </row>
    <row r="66" spans="1:34" s="21" customFormat="1" ht="6" customHeight="1" x14ac:dyDescent="0.2">
      <c r="A66" s="166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379" t="str">
        <f>Semifinal!E13</f>
        <v>José de Castro</v>
      </c>
      <c r="O66" s="380"/>
      <c r="P66" s="381"/>
      <c r="Q66" s="392">
        <f>IF(Semifinal!F13&lt;&gt;"",Semifinal!F13,"")</f>
        <v>7</v>
      </c>
      <c r="R66" s="392">
        <f>IF(Semifinal!G13&lt;&gt;"",Semifinal!G13,"")</f>
        <v>5</v>
      </c>
      <c r="S66" s="392">
        <f>IF(Semifinal!H13&lt;&gt;"",Semifinal!H13,"")</f>
        <v>4</v>
      </c>
      <c r="T66" s="189"/>
      <c r="U66" s="189"/>
      <c r="V66" s="189"/>
      <c r="W66" s="189"/>
      <c r="X66" s="189"/>
      <c r="Y66" s="189"/>
      <c r="Z66" s="189"/>
      <c r="AA66" s="214"/>
      <c r="AB66" s="214"/>
      <c r="AC66" s="214"/>
      <c r="AD66" s="214"/>
      <c r="AE66" s="189"/>
      <c r="AF66" s="189"/>
      <c r="AG66" s="218"/>
      <c r="AH66" s="213"/>
    </row>
    <row r="67" spans="1:34" s="21" customFormat="1" ht="6" customHeight="1" x14ac:dyDescent="0.2">
      <c r="A67" s="166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385"/>
      <c r="O67" s="380"/>
      <c r="P67" s="381"/>
      <c r="Q67" s="393"/>
      <c r="R67" s="393"/>
      <c r="S67" s="393"/>
      <c r="T67" s="189"/>
      <c r="U67" s="189"/>
      <c r="V67" s="189"/>
      <c r="W67" s="189"/>
      <c r="X67" s="189"/>
      <c r="Y67" s="189"/>
      <c r="Z67" s="189"/>
      <c r="AA67" s="214"/>
      <c r="AB67" s="214"/>
      <c r="AC67" s="214"/>
      <c r="AD67" s="214"/>
      <c r="AE67" s="189"/>
      <c r="AF67" s="189"/>
      <c r="AG67" s="218"/>
      <c r="AH67" s="213"/>
    </row>
    <row r="68" spans="1:34" s="21" customFormat="1" ht="12.75" customHeight="1" thickBot="1" x14ac:dyDescent="0.25">
      <c r="A68" s="166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212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219"/>
      <c r="AH68" s="213"/>
    </row>
    <row r="69" spans="1:34" s="21" customFormat="1" ht="6" customHeight="1" x14ac:dyDescent="0.2"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34" s="21" customFormat="1" ht="6" customHeight="1" x14ac:dyDescent="0.2"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34" s="21" customFormat="1" ht="6" customHeight="1" x14ac:dyDescent="0.2"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34" s="21" customFormat="1" ht="6" customHeight="1" x14ac:dyDescent="0.2"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34" s="21" customFormat="1" ht="12.75" customHeight="1" x14ac:dyDescent="0.2"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34" ht="6" customHeight="1" x14ac:dyDescent="0.2"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34" ht="6" customHeight="1" x14ac:dyDescent="0.2"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34" x14ac:dyDescent="0.2"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34" x14ac:dyDescent="0.2"/>
    <row r="78" spans="1:34" x14ac:dyDescent="0.2"/>
    <row r="79" spans="1:34" x14ac:dyDescent="0.2"/>
    <row r="80" spans="1:34" x14ac:dyDescent="0.2"/>
  </sheetData>
  <sheetProtection sheet="1" objects="1" scenarios="1"/>
  <mergeCells count="38">
    <mergeCell ref="D64:G65"/>
    <mergeCell ref="AC49:AF50"/>
    <mergeCell ref="AC53:AE55"/>
    <mergeCell ref="AF53:AF55"/>
    <mergeCell ref="AA59:AC60"/>
    <mergeCell ref="W59:W60"/>
    <mergeCell ref="N64:P65"/>
    <mergeCell ref="Y61:Y62"/>
    <mergeCell ref="Z61:Z62"/>
    <mergeCell ref="Z54:Z55"/>
    <mergeCell ref="Y59:Y60"/>
    <mergeCell ref="W49:AA50"/>
    <mergeCell ref="N66:P67"/>
    <mergeCell ref="X54:X55"/>
    <mergeCell ref="Q66:Q67"/>
    <mergeCell ref="R66:R67"/>
    <mergeCell ref="S66:S67"/>
    <mergeCell ref="R64:R65"/>
    <mergeCell ref="S64:S65"/>
    <mergeCell ref="Q64:Q65"/>
    <mergeCell ref="W54:W55"/>
    <mergeCell ref="X59:X60"/>
    <mergeCell ref="X61:X62"/>
    <mergeCell ref="W57:AA57"/>
    <mergeCell ref="W61:W62"/>
    <mergeCell ref="Z59:Z60"/>
    <mergeCell ref="Y54:Y55"/>
    <mergeCell ref="B1:AE1"/>
    <mergeCell ref="B2:AE2"/>
    <mergeCell ref="B8:F8"/>
    <mergeCell ref="I8:M8"/>
    <mergeCell ref="B3:AE4"/>
    <mergeCell ref="N48:P48"/>
    <mergeCell ref="P43:T43"/>
    <mergeCell ref="N46:P47"/>
    <mergeCell ref="R46:R47"/>
    <mergeCell ref="S46:S47"/>
    <mergeCell ref="Q46:Q47"/>
  </mergeCells>
  <phoneticPr fontId="26" type="noConversion"/>
  <hyperlinks>
    <hyperlink ref="D64:F65" location="Menu!A1" display="Menu Principal"/>
  </hyperlinks>
  <printOptions horizontalCentered="1" verticalCentered="1"/>
  <pageMargins left="0.19685039370078741" right="0.19685039370078741" top="0" bottom="0" header="0.59055118110236227" footer="0"/>
  <pageSetup paperSize="9" scale="85" orientation="landscape" r:id="rId1"/>
  <headerFooter alignWithMargins="0">
    <oddHeader>&amp;C&amp;"Arial,Negrita"&amp;20&amp;E"VI COPA MASTER" CLUB DE TENIS LINARES - 2015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32"/>
  <sheetViews>
    <sheetView workbookViewId="0">
      <selection activeCell="C17" sqref="C17"/>
    </sheetView>
  </sheetViews>
  <sheetFormatPr baseColWidth="10" defaultRowHeight="12.75" x14ac:dyDescent="0.2"/>
  <cols>
    <col min="1" max="1" width="6.7109375" style="1" customWidth="1"/>
    <col min="2" max="2" width="26.140625" style="1" bestFit="1" customWidth="1"/>
    <col min="3" max="3" width="25" style="1" bestFit="1" customWidth="1"/>
    <col min="4" max="4" width="21.28515625" style="1" customWidth="1"/>
    <col min="5" max="5" width="2.5703125" customWidth="1"/>
    <col min="6" max="9" width="11.42578125" style="224"/>
    <col min="10" max="10" width="11.42578125" style="235"/>
    <col min="11" max="11" width="16.140625" style="236" customWidth="1"/>
    <col min="12" max="12" width="2.140625" style="236" customWidth="1"/>
    <col min="13" max="13" width="17.42578125" style="236" customWidth="1"/>
    <col min="14" max="14" width="7" style="4" customWidth="1"/>
    <col min="15" max="15" width="11.42578125" style="4"/>
    <col min="16" max="16" width="5.7109375" style="236" customWidth="1"/>
    <col min="17" max="16384" width="11.42578125" style="4"/>
  </cols>
  <sheetData>
    <row r="1" spans="1:10" ht="15.75" x14ac:dyDescent="0.25">
      <c r="A1" s="429" t="s">
        <v>85</v>
      </c>
      <c r="B1" s="430"/>
      <c r="C1" s="430"/>
      <c r="D1" s="431"/>
      <c r="F1" s="220"/>
      <c r="G1" s="220"/>
      <c r="H1" s="254" t="s">
        <v>156</v>
      </c>
      <c r="I1" s="220"/>
      <c r="J1" s="234"/>
    </row>
    <row r="2" spans="1:10" x14ac:dyDescent="0.2">
      <c r="A2" s="221" t="s">
        <v>86</v>
      </c>
      <c r="B2" s="222" t="s">
        <v>87</v>
      </c>
      <c r="C2" s="222" t="s">
        <v>88</v>
      </c>
      <c r="D2" s="223" t="s">
        <v>89</v>
      </c>
    </row>
    <row r="3" spans="1:10" ht="15" customHeight="1" x14ac:dyDescent="0.2">
      <c r="A3" s="225">
        <v>2010</v>
      </c>
      <c r="B3" s="243" t="s">
        <v>90</v>
      </c>
      <c r="C3" s="226" t="s">
        <v>91</v>
      </c>
      <c r="D3" s="227" t="s">
        <v>92</v>
      </c>
    </row>
    <row r="4" spans="1:10" ht="15" customHeight="1" x14ac:dyDescent="0.2">
      <c r="A4" s="228">
        <v>2011</v>
      </c>
      <c r="B4" s="244" t="s">
        <v>90</v>
      </c>
      <c r="C4" s="229" t="s">
        <v>91</v>
      </c>
      <c r="D4" s="230" t="s">
        <v>93</v>
      </c>
    </row>
    <row r="5" spans="1:10" ht="15" customHeight="1" x14ac:dyDescent="0.2">
      <c r="A5" s="231">
        <v>2012</v>
      </c>
      <c r="B5" s="245" t="s">
        <v>94</v>
      </c>
      <c r="C5" s="232" t="s">
        <v>91</v>
      </c>
      <c r="D5" s="233" t="s">
        <v>95</v>
      </c>
    </row>
    <row r="6" spans="1:10" ht="15" customHeight="1" x14ac:dyDescent="0.2">
      <c r="A6" s="228">
        <v>2013</v>
      </c>
      <c r="B6" s="244" t="s">
        <v>91</v>
      </c>
      <c r="C6" s="229" t="s">
        <v>174</v>
      </c>
      <c r="D6" s="230" t="s">
        <v>96</v>
      </c>
    </row>
    <row r="7" spans="1:10" x14ac:dyDescent="0.2">
      <c r="A7" s="231">
        <v>2014</v>
      </c>
      <c r="B7" s="245" t="s">
        <v>91</v>
      </c>
      <c r="C7" s="232" t="s">
        <v>175</v>
      </c>
      <c r="D7" s="233" t="s">
        <v>97</v>
      </c>
    </row>
    <row r="8" spans="1:10" x14ac:dyDescent="0.2">
      <c r="A8" s="228">
        <v>2015</v>
      </c>
      <c r="B8" s="244" t="s">
        <v>94</v>
      </c>
      <c r="C8" s="229" t="s">
        <v>174</v>
      </c>
      <c r="D8" s="230" t="s">
        <v>98</v>
      </c>
      <c r="H8" s="253" t="s">
        <v>155</v>
      </c>
    </row>
    <row r="9" spans="1:10" x14ac:dyDescent="0.2">
      <c r="A9" s="231">
        <v>2016</v>
      </c>
      <c r="B9" s="245" t="s">
        <v>174</v>
      </c>
      <c r="C9" s="232" t="s">
        <v>91</v>
      </c>
      <c r="D9" s="233" t="s">
        <v>102</v>
      </c>
    </row>
    <row r="10" spans="1:10" x14ac:dyDescent="0.2">
      <c r="A10" s="228">
        <v>2018</v>
      </c>
      <c r="B10" s="244" t="s">
        <v>175</v>
      </c>
      <c r="C10" s="229" t="s">
        <v>91</v>
      </c>
      <c r="D10" s="230" t="s">
        <v>109</v>
      </c>
    </row>
    <row r="11" spans="1:10" x14ac:dyDescent="0.2">
      <c r="A11" s="231">
        <v>2019</v>
      </c>
      <c r="B11" s="245" t="s">
        <v>175</v>
      </c>
      <c r="C11" s="251" t="s">
        <v>174</v>
      </c>
      <c r="D11" s="233" t="s">
        <v>110</v>
      </c>
    </row>
    <row r="12" spans="1:10" x14ac:dyDescent="0.2">
      <c r="A12" s="228">
        <v>2020</v>
      </c>
      <c r="B12" s="244" t="s">
        <v>175</v>
      </c>
      <c r="C12" s="267" t="s">
        <v>112</v>
      </c>
      <c r="D12" s="268" t="s">
        <v>113</v>
      </c>
    </row>
    <row r="13" spans="1:10" x14ac:dyDescent="0.2">
      <c r="A13" s="272">
        <v>2021</v>
      </c>
      <c r="B13" s="269" t="s">
        <v>175</v>
      </c>
      <c r="C13" s="270" t="s">
        <v>176</v>
      </c>
      <c r="D13" s="271" t="s">
        <v>173</v>
      </c>
    </row>
    <row r="15" spans="1:10" x14ac:dyDescent="0.2">
      <c r="H15" s="253" t="s">
        <v>154</v>
      </c>
    </row>
    <row r="18" spans="1:8" x14ac:dyDescent="0.2">
      <c r="A18" s="432"/>
      <c r="B18" s="433"/>
      <c r="C18" s="433"/>
      <c r="D18" s="433"/>
    </row>
    <row r="20" spans="1:8" x14ac:dyDescent="0.2">
      <c r="A20" s="249" t="s">
        <v>99</v>
      </c>
      <c r="B20" s="250"/>
      <c r="C20" s="250"/>
      <c r="D20" s="250"/>
    </row>
    <row r="22" spans="1:8" x14ac:dyDescent="0.2">
      <c r="H22" s="253" t="s">
        <v>153</v>
      </c>
    </row>
    <row r="29" spans="1:8" x14ac:dyDescent="0.2">
      <c r="H29" s="253" t="s">
        <v>157</v>
      </c>
    </row>
    <row r="32" spans="1:8" s="236" customFormat="1" x14ac:dyDescent="0.2">
      <c r="A32" s="247"/>
      <c r="B32" s="247"/>
      <c r="C32" s="247"/>
      <c r="D32" s="247"/>
      <c r="E32" s="248"/>
    </row>
  </sheetData>
  <mergeCells count="2">
    <mergeCell ref="A1:D1"/>
    <mergeCell ref="A18:D18"/>
  </mergeCells>
  <phoneticPr fontId="85" type="noConversion"/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AM55"/>
  <sheetViews>
    <sheetView workbookViewId="0">
      <selection activeCell="D23" sqref="D23"/>
    </sheetView>
  </sheetViews>
  <sheetFormatPr baseColWidth="10" defaultColWidth="3.7109375" defaultRowHeight="12.75" x14ac:dyDescent="0.2"/>
  <cols>
    <col min="1" max="1" width="10.85546875" bestFit="1" customWidth="1"/>
    <col min="2" max="4" width="3.5703125" bestFit="1" customWidth="1"/>
    <col min="5" max="5" width="10.85546875" bestFit="1" customWidth="1"/>
    <col min="6" max="6" width="11.42578125" customWidth="1"/>
    <col min="10" max="10" width="3.7109375" customWidth="1"/>
    <col min="36" max="37" width="4.5703125" bestFit="1" customWidth="1"/>
    <col min="38" max="38" width="4.42578125" bestFit="1" customWidth="1"/>
  </cols>
  <sheetData>
    <row r="2" spans="1:39" x14ac:dyDescent="0.2">
      <c r="A2" s="316" t="s">
        <v>22</v>
      </c>
      <c r="B2" s="316"/>
      <c r="C2" s="316"/>
      <c r="D2" s="316"/>
      <c r="E2" s="316"/>
      <c r="G2" t="str">
        <f>IF('- A -'!Q7&lt;&gt;"",'- A -'!Q7,"")</f>
        <v>José de Castro</v>
      </c>
      <c r="N2" t="str">
        <f>IF('- A -'!Q9&lt;&gt;"",'- A -'!Q9,"")</f>
        <v>Sergio Soriano</v>
      </c>
      <c r="U2" t="str">
        <f>IF('- A -'!Q11&lt;&gt;"",'- A -'!Q11,"")</f>
        <v>Antonio M. Caro</v>
      </c>
      <c r="AB2" t="str">
        <f>IF('- A -'!Q13&lt;&gt;"",'- A -'!Q13,"")</f>
        <v>Jesús García</v>
      </c>
    </row>
    <row r="3" spans="1:39" x14ac:dyDescent="0.2">
      <c r="F3" t="s">
        <v>34</v>
      </c>
      <c r="G3" t="s">
        <v>58</v>
      </c>
      <c r="H3" t="s">
        <v>59</v>
      </c>
      <c r="I3" t="s">
        <v>5</v>
      </c>
      <c r="J3" t="s">
        <v>62</v>
      </c>
      <c r="K3" t="s">
        <v>63</v>
      </c>
      <c r="L3" t="s">
        <v>66</v>
      </c>
      <c r="N3" t="s">
        <v>58</v>
      </c>
      <c r="O3" t="s">
        <v>59</v>
      </c>
      <c r="P3" t="s">
        <v>5</v>
      </c>
      <c r="Q3" t="s">
        <v>62</v>
      </c>
      <c r="R3" t="s">
        <v>63</v>
      </c>
      <c r="S3" t="s">
        <v>66</v>
      </c>
      <c r="U3" t="s">
        <v>58</v>
      </c>
      <c r="V3" t="s">
        <v>59</v>
      </c>
      <c r="W3" t="s">
        <v>5</v>
      </c>
      <c r="X3" t="s">
        <v>62</v>
      </c>
      <c r="Y3" t="s">
        <v>63</v>
      </c>
      <c r="Z3" t="s">
        <v>66</v>
      </c>
      <c r="AB3" t="s">
        <v>58</v>
      </c>
      <c r="AC3" t="s">
        <v>59</v>
      </c>
      <c r="AD3" t="s">
        <v>5</v>
      </c>
      <c r="AE3" t="s">
        <v>62</v>
      </c>
      <c r="AF3" t="s">
        <v>63</v>
      </c>
      <c r="AG3" t="s">
        <v>66</v>
      </c>
    </row>
    <row r="4" spans="1:39" x14ac:dyDescent="0.2">
      <c r="A4" s="2" t="str">
        <f>'- A -'!B6</f>
        <v>José de Castro</v>
      </c>
      <c r="B4" s="1" t="str">
        <f>IF('- A -'!C6&lt;&gt;"",'- A -'!C6,"")</f>
        <v>6/1</v>
      </c>
      <c r="C4" s="1" t="str">
        <f>IF('- A -'!D6&lt;&gt;"",'- A -'!D6,"")</f>
        <v>6/1</v>
      </c>
      <c r="D4" s="1" t="str">
        <f>IF('- A -'!E6&lt;&gt;"",'- A -'!E6,"")</f>
        <v>-</v>
      </c>
      <c r="E4" s="3" t="str">
        <f>'- A -'!F6</f>
        <v>Jesús García</v>
      </c>
      <c r="F4" s="1">
        <f>COUNTBLANK('- A -'!C6:'- A -'!E6)</f>
        <v>0</v>
      </c>
      <c r="G4" s="40">
        <f>IF(AND($F4=0,OR($A4=$G$2,$E4=$G$2)),1,0)</f>
        <v>1</v>
      </c>
      <c r="H4" s="40">
        <f>IF(AND($F4=0,$A4=$G$2,$AM4=1),1,IF(AND($F4=0,$E4=$G$2,$AM4=2),1,0))</f>
        <v>1</v>
      </c>
      <c r="I4" s="40">
        <f>IF(AND($F4=0,G4=1,H4=0),1,0)</f>
        <v>0</v>
      </c>
      <c r="J4" s="40">
        <f t="shared" ref="J4:J9" si="0">IF(AND(F4=0,$A4=$G$2),COUNTIF(AJ4:AL4,"&gt;0"),IF(AND(F4=0,$E4=$G$2),COUNTIF(AJ4:AL4,"&lt;0"),0))</f>
        <v>2</v>
      </c>
      <c r="K4" s="40">
        <f t="shared" ref="K4:K9" si="1">IF(AND(F4=0,$A4=$G$2),COUNTIF(AJ4:AL4,"&lt;0"),IF(AND(F4=0,$E4=$G$2),COUNTIF(AJ4:AL4,"&gt;0"),0))</f>
        <v>0</v>
      </c>
      <c r="L4" s="40">
        <f t="shared" ref="L4:L9" si="2">IF(AND(F4=0,$A4=$G$2),SUM(AJ4:AL4),IF(AND(F4=0,$E4=$G$2),-SUM(AJ4:AL4),0))</f>
        <v>10</v>
      </c>
      <c r="N4" s="40">
        <f t="shared" ref="N4:N9" si="3">IF(AND($F4=0,OR($A4=$N$2,$E4=$N$2)),1,0)</f>
        <v>0</v>
      </c>
      <c r="O4" s="40">
        <f t="shared" ref="O4:O9" si="4">IF(AND($F4=0,$A4=$N$2,$AM4=1),1,IF(AND($F4=0,$E4=$N$2,$AM4=2),1,0))</f>
        <v>0</v>
      </c>
      <c r="P4" s="40">
        <f t="shared" ref="P4:P9" si="5">IF(AND($F4=0,N4=1,O4=0),1,0)</f>
        <v>0</v>
      </c>
      <c r="Q4" s="40">
        <f t="shared" ref="Q4:Q9" si="6">IF(AND($F4=0,$A4=$N$2),COUNTIF($AJ4:$AL4,"&gt;0"),IF(AND($F4=0,$E4=$N$2),COUNTIF($AJ4:$AL4,"&lt;0"),0))</f>
        <v>0</v>
      </c>
      <c r="R4" s="40">
        <f t="shared" ref="R4:R9" si="7">IF(AND($F4=0,$A4=$N$2),COUNTIF($AJ4:$AL4,"&lt;0"),IF(AND($F4=0,$E4=$N$2),COUNTIF($AJ4:$AL4,"&gt;0"),0))</f>
        <v>0</v>
      </c>
      <c r="S4" s="40">
        <f t="shared" ref="S4:S9" si="8">IF(AND($F4=0,$A4=$N$2),SUM($AJ4:$AL4),IF(AND($F4=0,$E4=$N$2),-SUM($AJ4:$AL4),0))</f>
        <v>0</v>
      </c>
      <c r="U4" s="40">
        <f t="shared" ref="U4:U9" si="9">IF(AND($F4=0,OR($A4=$U$2,$E4=$U$2)),1,0)</f>
        <v>0</v>
      </c>
      <c r="V4" s="40">
        <f t="shared" ref="V4:V9" si="10">IF(AND($F4=0,$A4=$U$2,$AM4=1),1,IF(AND($F4=0,$E4=$U$2,$AM4=2),1,0))</f>
        <v>0</v>
      </c>
      <c r="W4" s="40">
        <f t="shared" ref="W4:W9" si="11">IF(AND($F4=0,U4=1,V4=0),1,0)</f>
        <v>0</v>
      </c>
      <c r="X4" s="40">
        <f t="shared" ref="X4:X9" si="12">IF(AND($F4=0,$A4=$U$2),COUNTIF($AJ4:$AL4,"&gt;0"),IF(AND($F4=0,$E4=$U$2),COUNTIF($AJ4:$AL4,"&lt;0"),0))</f>
        <v>0</v>
      </c>
      <c r="Y4" s="40">
        <f t="shared" ref="Y4:Y9" si="13">IF(AND($F4=0,$A4=$U$2),COUNTIF($AJ4:$AL4,"&lt;0"),IF(AND($F4=0,$E4=$U$2),COUNTIF($AJ4:$AL4,"&gt;0"),0))</f>
        <v>0</v>
      </c>
      <c r="Z4" s="40">
        <f t="shared" ref="Z4:Z9" si="14">IF(AND($F4=0,$A4=$U$2),SUM($AJ4:$AL4),IF(AND($F4=0,$E4=$U$2),-SUM($AJ4:$AL4),0))</f>
        <v>0</v>
      </c>
      <c r="AB4" s="40">
        <f t="shared" ref="AB4:AB9" si="15">IF(AND($F4=0,OR($A4=$AB$2,$E4=$AB$2)),1,0)</f>
        <v>1</v>
      </c>
      <c r="AC4" s="40">
        <f t="shared" ref="AC4:AC9" si="16">IF(AND($F4=0,$A4=$AB$2,$AM4=1),1,IF(AND($F4=0,$E4=$AB$2,$AM4=2),1,0))</f>
        <v>0</v>
      </c>
      <c r="AD4" s="40">
        <f t="shared" ref="AD4:AD9" si="17">IF(AND($F4=0,AB4=1,AC4=0),1,0)</f>
        <v>1</v>
      </c>
      <c r="AE4" s="40">
        <f t="shared" ref="AE4:AE9" si="18">IF(AND($F4=0,$A4=$AB$2),COUNTIF($AJ4:$AL4,"&gt;0"),IF(AND($F4=0,$E4=$AB$2),COUNTIF($AJ4:$AL4,"&lt;0"),0))</f>
        <v>0</v>
      </c>
      <c r="AF4" s="40">
        <f t="shared" ref="AF4:AF9" si="19">IF(AND($F4=0,$A4=$AB$2),COUNTIF($AJ4:$AL4,"&lt;0"),IF(AND($F4=0,$E4=$AB$2),COUNTIF($AJ4:$AL4,"&gt;0"),0))</f>
        <v>2</v>
      </c>
      <c r="AG4" s="40">
        <f t="shared" ref="AG4:AG9" si="20">IF(AND($F4=0,$A4=$AB$2),SUM($AJ4:$AL4),IF(AND($F4=0,$E4=$AB$2),-SUM($AJ4:$AL4),0))</f>
        <v>-10</v>
      </c>
      <c r="AJ4" s="38">
        <f>IF('- A -'!C6&lt;&gt;"",VLOOKUP('- A -'!C6,'- A -'!$X$3:$Y$17,2,0),"")</f>
        <v>5</v>
      </c>
      <c r="AK4" s="38">
        <f>IF('- A -'!D6&lt;&gt;"",VLOOKUP('- A -'!D6,'- A -'!$X$3:$Y$17,2,0),"")</f>
        <v>5</v>
      </c>
      <c r="AL4" s="38">
        <f>IF('- A -'!E6&lt;&gt;"",VLOOKUP('- A -'!E6,'- A -'!$X$3:$Y$18,2,0),"")</f>
        <v>0</v>
      </c>
      <c r="AM4" s="39">
        <f t="shared" ref="AM4:AM9" si="21">IF(AJ4&lt;&gt;"",IF(COUNTIF(AJ4:AL4,"&gt;1")&gt;1,1,2),"")</f>
        <v>1</v>
      </c>
    </row>
    <row r="5" spans="1:39" x14ac:dyDescent="0.2">
      <c r="A5" s="2" t="str">
        <f>'- A -'!B7</f>
        <v>Antonio M. Caro</v>
      </c>
      <c r="B5" s="1" t="str">
        <f>IF('- A -'!C7&lt;&gt;"",'- A -'!C7,"")</f>
        <v>0/6</v>
      </c>
      <c r="C5" s="1" t="str">
        <f>IF('- A -'!D7&lt;&gt;"",'- A -'!D7,"")</f>
        <v>1/6</v>
      </c>
      <c r="D5" s="1" t="str">
        <f>IF('- A -'!E7&lt;&gt;"",'- A -'!E7,"")</f>
        <v>-</v>
      </c>
      <c r="E5" s="3" t="str">
        <f>'- A -'!F7</f>
        <v>Sergio Soriano</v>
      </c>
      <c r="F5" s="1">
        <f>COUNTBLANK('- A -'!C7:'- A -'!E7)</f>
        <v>0</v>
      </c>
      <c r="G5" s="40">
        <f>IF(AND(F5=0,OR($A5=$G$2,$E5=$G$2)),1,0)</f>
        <v>0</v>
      </c>
      <c r="H5" s="40">
        <f>IF(AND(F5=0,$A5=$G$2,$AM5=1),1,IF(AND(F5=0,$E5=$G$2,$AM5=2),1,0))</f>
        <v>0</v>
      </c>
      <c r="I5" s="40">
        <f>IF(AND(F5=0,G5=1,$H5=0),1,0)</f>
        <v>0</v>
      </c>
      <c r="J5" s="40">
        <f t="shared" si="0"/>
        <v>0</v>
      </c>
      <c r="K5" s="40">
        <f t="shared" si="1"/>
        <v>0</v>
      </c>
      <c r="L5" s="40">
        <f t="shared" si="2"/>
        <v>0</v>
      </c>
      <c r="N5" s="40">
        <f t="shared" si="3"/>
        <v>1</v>
      </c>
      <c r="O5" s="40">
        <f t="shared" si="4"/>
        <v>1</v>
      </c>
      <c r="P5" s="40">
        <f t="shared" si="5"/>
        <v>0</v>
      </c>
      <c r="Q5" s="40">
        <f t="shared" si="6"/>
        <v>2</v>
      </c>
      <c r="R5" s="40">
        <f t="shared" si="7"/>
        <v>0</v>
      </c>
      <c r="S5" s="40">
        <f t="shared" si="8"/>
        <v>11</v>
      </c>
      <c r="U5" s="40">
        <f t="shared" si="9"/>
        <v>1</v>
      </c>
      <c r="V5" s="40">
        <f t="shared" si="10"/>
        <v>0</v>
      </c>
      <c r="W5" s="40">
        <f t="shared" si="11"/>
        <v>1</v>
      </c>
      <c r="X5" s="40">
        <f t="shared" si="12"/>
        <v>0</v>
      </c>
      <c r="Y5" s="40">
        <f t="shared" si="13"/>
        <v>2</v>
      </c>
      <c r="Z5" s="40">
        <f t="shared" si="14"/>
        <v>-11</v>
      </c>
      <c r="AB5" s="40">
        <f t="shared" si="15"/>
        <v>0</v>
      </c>
      <c r="AC5" s="40">
        <f t="shared" si="16"/>
        <v>0</v>
      </c>
      <c r="AD5" s="40">
        <f t="shared" si="17"/>
        <v>0</v>
      </c>
      <c r="AE5" s="40">
        <f t="shared" si="18"/>
        <v>0</v>
      </c>
      <c r="AF5" s="40">
        <f t="shared" si="19"/>
        <v>0</v>
      </c>
      <c r="AG5" s="40">
        <f t="shared" si="20"/>
        <v>0</v>
      </c>
      <c r="AJ5" s="38">
        <f>IF('- A -'!C7&lt;&gt;"",VLOOKUP('- A -'!C7,'- A -'!$X$3:$Y$17,2,0),"")</f>
        <v>-6</v>
      </c>
      <c r="AK5" s="38">
        <f>IF('- A -'!D7&lt;&gt;"",VLOOKUP('- A -'!D7,'- A -'!$X$3:$Y$17,2,0),"")</f>
        <v>-5</v>
      </c>
      <c r="AL5" s="38">
        <f>IF('- A -'!E7&lt;&gt;"",VLOOKUP('- A -'!E7,'- A -'!$X$3:$Y$18,2,0),"")</f>
        <v>0</v>
      </c>
      <c r="AM5" s="39">
        <f t="shared" si="21"/>
        <v>2</v>
      </c>
    </row>
    <row r="6" spans="1:39" x14ac:dyDescent="0.2">
      <c r="A6" s="2" t="str">
        <f>'- A -'!B8</f>
        <v>José de Castro</v>
      </c>
      <c r="B6" s="1" t="str">
        <f>IF('- A -'!C8&lt;&gt;"",'- A -'!C8,"")</f>
        <v>6/0</v>
      </c>
      <c r="C6" s="1" t="str">
        <f>IF('- A -'!D8&lt;&gt;"",'- A -'!D8,"")</f>
        <v>6/2</v>
      </c>
      <c r="D6" s="1" t="str">
        <f>IF('- A -'!E8&lt;&gt;"",'- A -'!E8,"")</f>
        <v>-</v>
      </c>
      <c r="E6" s="3" t="str">
        <f>'- A -'!F8</f>
        <v>Antonio M. Caro</v>
      </c>
      <c r="F6" s="1">
        <f>COUNTBLANK('- A -'!C8:'- A -'!E8)</f>
        <v>0</v>
      </c>
      <c r="G6" s="40">
        <f>IF(AND(F6=0,OR($A6=$G$2,$E6=$G$2)),1,0)</f>
        <v>1</v>
      </c>
      <c r="H6" s="40">
        <f>IF(AND(F6=0,$A6=$G$2,$AM6=1),1,IF(AND(F6=0,$E6=$G$2,$AM6=2),1,0))</f>
        <v>1</v>
      </c>
      <c r="I6" s="40">
        <f>IF(AND(F6=0,G6=1,$H6=0),1,0)</f>
        <v>0</v>
      </c>
      <c r="J6" s="40">
        <f t="shared" si="0"/>
        <v>2</v>
      </c>
      <c r="K6" s="40">
        <f t="shared" si="1"/>
        <v>0</v>
      </c>
      <c r="L6" s="40">
        <f t="shared" si="2"/>
        <v>10</v>
      </c>
      <c r="N6" s="40">
        <f t="shared" si="3"/>
        <v>0</v>
      </c>
      <c r="O6" s="40">
        <f t="shared" si="4"/>
        <v>0</v>
      </c>
      <c r="P6" s="40">
        <f t="shared" si="5"/>
        <v>0</v>
      </c>
      <c r="Q6" s="40">
        <f t="shared" si="6"/>
        <v>0</v>
      </c>
      <c r="R6" s="40">
        <f t="shared" si="7"/>
        <v>0</v>
      </c>
      <c r="S6" s="40">
        <f t="shared" si="8"/>
        <v>0</v>
      </c>
      <c r="U6" s="40">
        <f t="shared" si="9"/>
        <v>1</v>
      </c>
      <c r="V6" s="40">
        <f t="shared" si="10"/>
        <v>0</v>
      </c>
      <c r="W6" s="40">
        <f t="shared" si="11"/>
        <v>1</v>
      </c>
      <c r="X6" s="40">
        <f t="shared" si="12"/>
        <v>0</v>
      </c>
      <c r="Y6" s="40">
        <f t="shared" si="13"/>
        <v>2</v>
      </c>
      <c r="Z6" s="40">
        <f t="shared" si="14"/>
        <v>-10</v>
      </c>
      <c r="AB6" s="40">
        <f t="shared" si="15"/>
        <v>0</v>
      </c>
      <c r="AC6" s="40">
        <f t="shared" si="16"/>
        <v>0</v>
      </c>
      <c r="AD6" s="40">
        <f t="shared" si="17"/>
        <v>0</v>
      </c>
      <c r="AE6" s="40">
        <f t="shared" si="18"/>
        <v>0</v>
      </c>
      <c r="AF6" s="40">
        <f t="shared" si="19"/>
        <v>0</v>
      </c>
      <c r="AG6" s="40">
        <f t="shared" si="20"/>
        <v>0</v>
      </c>
      <c r="AJ6" s="38">
        <f>IF('- A -'!C8&lt;&gt;"",VLOOKUP('- A -'!C8,'- A -'!$X$3:$Y$17,2,0),"")</f>
        <v>6</v>
      </c>
      <c r="AK6" s="38">
        <f>IF('- A -'!D8&lt;&gt;"",VLOOKUP('- A -'!D8,'- A -'!$X$3:$Y$17,2,0),"")</f>
        <v>4</v>
      </c>
      <c r="AL6" s="38">
        <f>IF('- A -'!E8&lt;&gt;"",VLOOKUP('- A -'!E8,'- A -'!$X$3:$Y$18,2,0),"")</f>
        <v>0</v>
      </c>
      <c r="AM6" s="39">
        <f t="shared" si="21"/>
        <v>1</v>
      </c>
    </row>
    <row r="7" spans="1:39" x14ac:dyDescent="0.2">
      <c r="A7" s="2" t="str">
        <f>'- A -'!B9</f>
        <v>Jesús García</v>
      </c>
      <c r="B7" s="1" t="str">
        <f>IF('- A -'!C9&lt;&gt;"",'- A -'!C9,"")</f>
        <v>2/6</v>
      </c>
      <c r="C7" s="1" t="str">
        <f>IF('- A -'!D9&lt;&gt;"",'- A -'!D9,"")</f>
        <v>2/6</v>
      </c>
      <c r="D7" s="1" t="str">
        <f>IF('- A -'!E9&lt;&gt;"",'- A -'!E9,"")</f>
        <v>-</v>
      </c>
      <c r="E7" s="3" t="str">
        <f>'- A -'!F9</f>
        <v>Sergio Soriano</v>
      </c>
      <c r="F7" s="1">
        <f>COUNTBLANK('- A -'!C9:'- A -'!E9)</f>
        <v>0</v>
      </c>
      <c r="G7" s="40">
        <f>IF(AND(F7=0,OR($A7=$G$2,$E7=$G$2)),1,0)</f>
        <v>0</v>
      </c>
      <c r="H7" s="40">
        <f>IF(AND(F7=0,$A7=$G$2,$AM7=1),1,IF(AND(F7=0,$E7=$G$2,$AM7=2),1,0))</f>
        <v>0</v>
      </c>
      <c r="I7" s="40">
        <f>IF(AND(F7=0,G7=1,$H7=0),1,0)</f>
        <v>0</v>
      </c>
      <c r="J7" s="40">
        <f t="shared" si="0"/>
        <v>0</v>
      </c>
      <c r="K7" s="40">
        <f t="shared" si="1"/>
        <v>0</v>
      </c>
      <c r="L7" s="40">
        <f t="shared" si="2"/>
        <v>0</v>
      </c>
      <c r="N7" s="40">
        <f t="shared" si="3"/>
        <v>1</v>
      </c>
      <c r="O7" s="40">
        <f t="shared" si="4"/>
        <v>1</v>
      </c>
      <c r="P7" s="40">
        <f t="shared" si="5"/>
        <v>0</v>
      </c>
      <c r="Q7" s="40">
        <f t="shared" si="6"/>
        <v>2</v>
      </c>
      <c r="R7" s="40">
        <f t="shared" si="7"/>
        <v>0</v>
      </c>
      <c r="S7" s="40">
        <f t="shared" si="8"/>
        <v>8</v>
      </c>
      <c r="U7" s="40">
        <f t="shared" si="9"/>
        <v>0</v>
      </c>
      <c r="V7" s="40">
        <f t="shared" si="10"/>
        <v>0</v>
      </c>
      <c r="W7" s="40">
        <f t="shared" si="11"/>
        <v>0</v>
      </c>
      <c r="X7" s="40">
        <f t="shared" si="12"/>
        <v>0</v>
      </c>
      <c r="Y7" s="40">
        <f t="shared" si="13"/>
        <v>0</v>
      </c>
      <c r="Z7" s="40">
        <f t="shared" si="14"/>
        <v>0</v>
      </c>
      <c r="AB7" s="40">
        <f t="shared" si="15"/>
        <v>1</v>
      </c>
      <c r="AC7" s="40">
        <f t="shared" si="16"/>
        <v>0</v>
      </c>
      <c r="AD7" s="40">
        <f t="shared" si="17"/>
        <v>1</v>
      </c>
      <c r="AE7" s="40">
        <f t="shared" si="18"/>
        <v>0</v>
      </c>
      <c r="AF7" s="40">
        <f t="shared" si="19"/>
        <v>2</v>
      </c>
      <c r="AG7" s="40">
        <f t="shared" si="20"/>
        <v>-8</v>
      </c>
      <c r="AJ7" s="38">
        <f>IF('- A -'!C9&lt;&gt;"",VLOOKUP('- A -'!C9,'- A -'!$X$3:$Y$17,2,0),"")</f>
        <v>-4</v>
      </c>
      <c r="AK7" s="38">
        <f>IF('- A -'!D9&lt;&gt;"",VLOOKUP('- A -'!D9,'- A -'!$X$3:$Y$17,2,0),"")</f>
        <v>-4</v>
      </c>
      <c r="AL7" s="38">
        <f>IF('- A -'!E9&lt;&gt;"",VLOOKUP('- A -'!E9,'- A -'!$X$3:$Y$18,2,0),"")</f>
        <v>0</v>
      </c>
      <c r="AM7" s="39">
        <f t="shared" si="21"/>
        <v>2</v>
      </c>
    </row>
    <row r="8" spans="1:39" x14ac:dyDescent="0.2">
      <c r="A8" s="2" t="str">
        <f>'- A -'!B10</f>
        <v>Jesús García</v>
      </c>
      <c r="B8" s="1" t="str">
        <f>IF('- A -'!C10&lt;&gt;"",'- A -'!C10,"")</f>
        <v>2/6</v>
      </c>
      <c r="C8" s="1" t="str">
        <f>IF('- A -'!D10&lt;&gt;"",'- A -'!D10,"")</f>
        <v>4/6</v>
      </c>
      <c r="D8" s="1" t="str">
        <f>IF('- A -'!E10&lt;&gt;"",'- A -'!E10,"")</f>
        <v>-</v>
      </c>
      <c r="E8" s="3" t="str">
        <f>'- A -'!F10</f>
        <v>Antonio M. Caro</v>
      </c>
      <c r="F8" s="1">
        <f>COUNTBLANK('- A -'!C10:'- A -'!E10)</f>
        <v>0</v>
      </c>
      <c r="G8" s="40">
        <f>IF(AND(F8=0,OR($A8=$G$2,$E8=$G$2)),1,0)</f>
        <v>0</v>
      </c>
      <c r="H8" s="40">
        <f>IF(AND(F8=0,$A8=$G$2,$AM8=1),1,IF(AND(F8=0,$E8=$G$2,$AM8=2),1,0))</f>
        <v>0</v>
      </c>
      <c r="I8" s="40">
        <f>IF(AND(F8=0,G8=1,$H8=0),1,0)</f>
        <v>0</v>
      </c>
      <c r="J8" s="40">
        <f t="shared" si="0"/>
        <v>0</v>
      </c>
      <c r="K8" s="40">
        <f t="shared" si="1"/>
        <v>0</v>
      </c>
      <c r="L8" s="40">
        <f t="shared" si="2"/>
        <v>0</v>
      </c>
      <c r="N8" s="40">
        <f t="shared" si="3"/>
        <v>0</v>
      </c>
      <c r="O8" s="40">
        <f t="shared" si="4"/>
        <v>0</v>
      </c>
      <c r="P8" s="40">
        <f t="shared" si="5"/>
        <v>0</v>
      </c>
      <c r="Q8" s="40">
        <f t="shared" si="6"/>
        <v>0</v>
      </c>
      <c r="R8" s="40">
        <f t="shared" si="7"/>
        <v>0</v>
      </c>
      <c r="S8" s="40">
        <f t="shared" si="8"/>
        <v>0</v>
      </c>
      <c r="U8" s="40">
        <f t="shared" si="9"/>
        <v>1</v>
      </c>
      <c r="V8" s="40">
        <f t="shared" si="10"/>
        <v>1</v>
      </c>
      <c r="W8" s="40">
        <f t="shared" si="11"/>
        <v>0</v>
      </c>
      <c r="X8" s="40">
        <f t="shared" si="12"/>
        <v>2</v>
      </c>
      <c r="Y8" s="40">
        <f t="shared" si="13"/>
        <v>0</v>
      </c>
      <c r="Z8" s="40">
        <f t="shared" si="14"/>
        <v>6</v>
      </c>
      <c r="AB8" s="40">
        <f t="shared" si="15"/>
        <v>1</v>
      </c>
      <c r="AC8" s="40">
        <f t="shared" si="16"/>
        <v>0</v>
      </c>
      <c r="AD8" s="40">
        <f t="shared" si="17"/>
        <v>1</v>
      </c>
      <c r="AE8" s="40">
        <f t="shared" si="18"/>
        <v>0</v>
      </c>
      <c r="AF8" s="40">
        <f t="shared" si="19"/>
        <v>2</v>
      </c>
      <c r="AG8" s="40">
        <f t="shared" si="20"/>
        <v>-6</v>
      </c>
      <c r="AJ8" s="38">
        <f>IF('- A -'!C10&lt;&gt;"",VLOOKUP('- A -'!C10,'- A -'!$X$3:$Y$17,2,0),"")</f>
        <v>-4</v>
      </c>
      <c r="AK8" s="38">
        <f>IF('- A -'!D10&lt;&gt;"",VLOOKUP('- A -'!D10,'- A -'!$X$3:$Y$17,2,0),"")</f>
        <v>-2</v>
      </c>
      <c r="AL8" s="38">
        <f>IF('- A -'!E10&lt;&gt;"",VLOOKUP('- A -'!E10,'- A -'!$X$3:$Y$18,2,0),"")</f>
        <v>0</v>
      </c>
      <c r="AM8" s="39">
        <f t="shared" si="21"/>
        <v>2</v>
      </c>
    </row>
    <row r="9" spans="1:39" x14ac:dyDescent="0.2">
      <c r="A9" s="2" t="str">
        <f>'- A -'!B11</f>
        <v>Sergio Soriano</v>
      </c>
      <c r="B9" s="1" t="str">
        <f>IF('- A -'!C11&lt;&gt;"",'- A -'!C11,"")</f>
        <v>6/1</v>
      </c>
      <c r="C9" s="1" t="str">
        <f>IF('- A -'!D11&lt;&gt;"",'- A -'!D11,"")</f>
        <v>3/6</v>
      </c>
      <c r="D9" s="1" t="str">
        <f>IF('- A -'!E11&lt;&gt;"",'- A -'!E11,"")</f>
        <v>7/6</v>
      </c>
      <c r="E9" s="3" t="str">
        <f>'- A -'!F11</f>
        <v>José de Castro</v>
      </c>
      <c r="F9" s="1">
        <f>COUNTBLANK('- A -'!C11:'- A -'!E11)</f>
        <v>0</v>
      </c>
      <c r="G9" s="40">
        <f>IF(AND(F9=0,OR($A9=$G$2,$E9=$G$2)),1,0)</f>
        <v>1</v>
      </c>
      <c r="H9" s="40">
        <f>IF(AND(F9=0,$A9=$G$2,$AM9=1),1,IF(AND(F9=0,$E9=$G$2,$AM9=2),1,0))</f>
        <v>0</v>
      </c>
      <c r="I9" s="40">
        <f>IF(AND(F9=0,G9=1,$H9=0),1,0)</f>
        <v>1</v>
      </c>
      <c r="J9" s="40">
        <f t="shared" si="0"/>
        <v>1</v>
      </c>
      <c r="K9" s="40">
        <f t="shared" si="1"/>
        <v>2</v>
      </c>
      <c r="L9" s="40">
        <f t="shared" si="2"/>
        <v>-3.01</v>
      </c>
      <c r="N9" s="40">
        <f t="shared" si="3"/>
        <v>1</v>
      </c>
      <c r="O9" s="40">
        <f t="shared" si="4"/>
        <v>1</v>
      </c>
      <c r="P9" s="40">
        <f t="shared" si="5"/>
        <v>0</v>
      </c>
      <c r="Q9" s="40">
        <f t="shared" si="6"/>
        <v>2</v>
      </c>
      <c r="R9" s="40">
        <f t="shared" si="7"/>
        <v>1</v>
      </c>
      <c r="S9" s="40">
        <f t="shared" si="8"/>
        <v>3.01</v>
      </c>
      <c r="U9" s="40">
        <f t="shared" si="9"/>
        <v>0</v>
      </c>
      <c r="V9" s="40">
        <f t="shared" si="10"/>
        <v>0</v>
      </c>
      <c r="W9" s="40">
        <f t="shared" si="11"/>
        <v>0</v>
      </c>
      <c r="X9" s="40">
        <f t="shared" si="12"/>
        <v>0</v>
      </c>
      <c r="Y9" s="40">
        <f t="shared" si="13"/>
        <v>0</v>
      </c>
      <c r="Z9" s="40">
        <f t="shared" si="14"/>
        <v>0</v>
      </c>
      <c r="AB9" s="40">
        <f t="shared" si="15"/>
        <v>0</v>
      </c>
      <c r="AC9" s="40">
        <f t="shared" si="16"/>
        <v>0</v>
      </c>
      <c r="AD9" s="40">
        <f t="shared" si="17"/>
        <v>0</v>
      </c>
      <c r="AE9" s="40">
        <f t="shared" si="18"/>
        <v>0</v>
      </c>
      <c r="AF9" s="40">
        <f t="shared" si="19"/>
        <v>0</v>
      </c>
      <c r="AG9" s="40">
        <f t="shared" si="20"/>
        <v>0</v>
      </c>
      <c r="AJ9" s="38">
        <f>IF('- A -'!C11&lt;&gt;"",VLOOKUP('- A -'!C11,'- A -'!$X$3:$Y$17,2,0),"")</f>
        <v>5</v>
      </c>
      <c r="AK9" s="38">
        <f>IF('- A -'!D11&lt;&gt;"",VLOOKUP('- A -'!D11,'- A -'!$X$3:$Y$17,2,0),"")</f>
        <v>-3</v>
      </c>
      <c r="AL9" s="38">
        <f>IF('- A -'!E11&lt;&gt;"",VLOOKUP('- A -'!E11,'- A -'!$X$3:$Y$18,2,0),"")</f>
        <v>1.01</v>
      </c>
      <c r="AM9" s="39">
        <f t="shared" si="21"/>
        <v>1</v>
      </c>
    </row>
    <row r="10" spans="1:39" x14ac:dyDescent="0.2">
      <c r="G10">
        <f t="shared" ref="G10:L10" si="22">SUM(G4:G9)</f>
        <v>3</v>
      </c>
      <c r="H10">
        <f>SUM(H4:H9)</f>
        <v>2</v>
      </c>
      <c r="I10">
        <f t="shared" si="22"/>
        <v>1</v>
      </c>
      <c r="J10">
        <f t="shared" si="22"/>
        <v>5</v>
      </c>
      <c r="K10">
        <f t="shared" si="22"/>
        <v>2</v>
      </c>
      <c r="L10">
        <f t="shared" si="22"/>
        <v>16.990000000000002</v>
      </c>
      <c r="M10">
        <f>H10</f>
        <v>2</v>
      </c>
      <c r="N10">
        <f t="shared" ref="N10:S10" si="23">SUM(N4:N9)</f>
        <v>3</v>
      </c>
      <c r="O10">
        <f t="shared" si="23"/>
        <v>3</v>
      </c>
      <c r="P10">
        <f t="shared" si="23"/>
        <v>0</v>
      </c>
      <c r="Q10">
        <f t="shared" si="23"/>
        <v>6</v>
      </c>
      <c r="R10">
        <f t="shared" si="23"/>
        <v>1</v>
      </c>
      <c r="S10">
        <f t="shared" si="23"/>
        <v>22.009999999999998</v>
      </c>
      <c r="T10">
        <f>O10</f>
        <v>3</v>
      </c>
      <c r="U10">
        <f t="shared" ref="U10:Z10" si="24">SUM(U4:U9)</f>
        <v>3</v>
      </c>
      <c r="V10">
        <f t="shared" si="24"/>
        <v>1</v>
      </c>
      <c r="W10">
        <f t="shared" si="24"/>
        <v>2</v>
      </c>
      <c r="X10">
        <f t="shared" si="24"/>
        <v>2</v>
      </c>
      <c r="Y10">
        <f t="shared" si="24"/>
        <v>4</v>
      </c>
      <c r="Z10">
        <f t="shared" si="24"/>
        <v>-15</v>
      </c>
      <c r="AA10">
        <f>V10</f>
        <v>1</v>
      </c>
      <c r="AB10">
        <f t="shared" ref="AB10:AG10" si="25">SUM(AB4:AB9)</f>
        <v>3</v>
      </c>
      <c r="AC10">
        <f t="shared" si="25"/>
        <v>0</v>
      </c>
      <c r="AD10">
        <f t="shared" si="25"/>
        <v>3</v>
      </c>
      <c r="AE10">
        <f t="shared" si="25"/>
        <v>0</v>
      </c>
      <c r="AF10">
        <f t="shared" si="25"/>
        <v>6</v>
      </c>
      <c r="AG10">
        <f t="shared" si="25"/>
        <v>-24</v>
      </c>
      <c r="AH10">
        <f>AC10</f>
        <v>0</v>
      </c>
    </row>
    <row r="14" spans="1:39" x14ac:dyDescent="0.2">
      <c r="F14" t="s">
        <v>20</v>
      </c>
    </row>
    <row r="15" spans="1:39" x14ac:dyDescent="0.2">
      <c r="G15" t="s">
        <v>58</v>
      </c>
      <c r="H15" t="s">
        <v>59</v>
      </c>
      <c r="I15" t="s">
        <v>5</v>
      </c>
      <c r="J15" t="s">
        <v>62</v>
      </c>
      <c r="K15" t="s">
        <v>63</v>
      </c>
      <c r="L15" t="s">
        <v>66</v>
      </c>
      <c r="M15" t="s">
        <v>6</v>
      </c>
      <c r="O15" t="s">
        <v>7</v>
      </c>
      <c r="S15" t="s">
        <v>8</v>
      </c>
      <c r="W15" t="s">
        <v>9</v>
      </c>
      <c r="AA15" t="s">
        <v>10</v>
      </c>
      <c r="AE15" t="s">
        <v>11</v>
      </c>
      <c r="AI15" t="s">
        <v>12</v>
      </c>
    </row>
    <row r="16" spans="1:39" x14ac:dyDescent="0.2">
      <c r="F16" t="str">
        <f>G2</f>
        <v>José de Castro</v>
      </c>
      <c r="G16">
        <f t="shared" ref="G16:M16" si="26">G10</f>
        <v>3</v>
      </c>
      <c r="H16">
        <f t="shared" si="26"/>
        <v>2</v>
      </c>
      <c r="I16">
        <f t="shared" si="26"/>
        <v>1</v>
      </c>
      <c r="J16">
        <f t="shared" si="26"/>
        <v>5</v>
      </c>
      <c r="K16">
        <f t="shared" si="26"/>
        <v>2</v>
      </c>
      <c r="L16">
        <f t="shared" si="26"/>
        <v>16.990000000000002</v>
      </c>
      <c r="M16">
        <f t="shared" si="26"/>
        <v>2</v>
      </c>
      <c r="O16" t="str">
        <f>IF($M16&gt;=$M17,$F16,$F17)</f>
        <v>Sergio Soriano</v>
      </c>
      <c r="P16">
        <f>VLOOKUP(O16,$F$16:$M$25,8,FALSE)</f>
        <v>3</v>
      </c>
      <c r="S16" t="str">
        <f>IF($P16&gt;=$P18,$O16,$O18)</f>
        <v>Sergio Soriano</v>
      </c>
      <c r="T16">
        <f>VLOOKUP(S16,$O$16:$P$25,2,FALSE)</f>
        <v>3</v>
      </c>
      <c r="W16" t="str">
        <f>IF($T16&gt;=$T19,$S16,$S19)</f>
        <v>Sergio Soriano</v>
      </c>
      <c r="X16">
        <f>VLOOKUP(W16,$S$16:$T$25,2,FALSE)</f>
        <v>3</v>
      </c>
      <c r="AA16" t="str">
        <f>W16</f>
        <v>Sergio Soriano</v>
      </c>
      <c r="AB16">
        <f>VLOOKUP(AA16,W16:X25,2,FALSE)</f>
        <v>3</v>
      </c>
      <c r="AE16" t="str">
        <f>AA16</f>
        <v>Sergio Soriano</v>
      </c>
      <c r="AF16">
        <f>VLOOKUP(AE16,AA16:AB25,2,FALSE)</f>
        <v>3</v>
      </c>
      <c r="AI16" t="str">
        <f>AE16</f>
        <v>Sergio Soriano</v>
      </c>
      <c r="AJ16">
        <f>VLOOKUP(AI16,AE16:AF25,2,FALSE)</f>
        <v>3</v>
      </c>
    </row>
    <row r="17" spans="6:37" x14ac:dyDescent="0.2">
      <c r="F17" t="str">
        <f>N2</f>
        <v>Sergio Soriano</v>
      </c>
      <c r="G17">
        <f t="shared" ref="G17:L17" si="27">N10</f>
        <v>3</v>
      </c>
      <c r="H17">
        <f t="shared" si="27"/>
        <v>3</v>
      </c>
      <c r="I17">
        <f t="shared" si="27"/>
        <v>0</v>
      </c>
      <c r="J17">
        <f t="shared" si="27"/>
        <v>6</v>
      </c>
      <c r="K17">
        <f t="shared" si="27"/>
        <v>1</v>
      </c>
      <c r="L17">
        <f t="shared" si="27"/>
        <v>22.009999999999998</v>
      </c>
      <c r="M17">
        <f>T10</f>
        <v>3</v>
      </c>
      <c r="O17" t="str">
        <f>IF($M17&lt;=$M16,$F17,$F16)</f>
        <v>José de Castro</v>
      </c>
      <c r="P17">
        <f>VLOOKUP(O17,$F$16:$M$25,8,FALSE)</f>
        <v>2</v>
      </c>
      <c r="S17" t="str">
        <f>O17</f>
        <v>José de Castro</v>
      </c>
      <c r="T17">
        <f>VLOOKUP(S17,$O$16:$P$25,2,FALSE)</f>
        <v>2</v>
      </c>
      <c r="W17" t="str">
        <f>S17</f>
        <v>José de Castro</v>
      </c>
      <c r="X17">
        <f>VLOOKUP(W17,$S$16:$T$25,2,FALSE)</f>
        <v>2</v>
      </c>
      <c r="AA17" t="str">
        <f>IF(X17&gt;=X18,W17,W18)</f>
        <v>José de Castro</v>
      </c>
      <c r="AB17">
        <f>VLOOKUP(AA17,W16:X25,2,FALSE)</f>
        <v>2</v>
      </c>
      <c r="AE17" t="str">
        <f>IF(AB17&gt;=AB19,AA17,AA19)</f>
        <v>José de Castro</v>
      </c>
      <c r="AF17">
        <f>VLOOKUP(AE17,AA16:AB25,2,FALSE)</f>
        <v>2</v>
      </c>
      <c r="AI17" t="str">
        <f>AE17</f>
        <v>José de Castro</v>
      </c>
      <c r="AJ17">
        <f>VLOOKUP(AI17,AE16:AF25,2,FALSE)</f>
        <v>2</v>
      </c>
    </row>
    <row r="18" spans="6:37" x14ac:dyDescent="0.2">
      <c r="F18" t="str">
        <f>U2</f>
        <v>Antonio M. Caro</v>
      </c>
      <c r="G18">
        <f t="shared" ref="G18:M18" si="28">U10</f>
        <v>3</v>
      </c>
      <c r="H18">
        <f t="shared" si="28"/>
        <v>1</v>
      </c>
      <c r="I18">
        <f t="shared" si="28"/>
        <v>2</v>
      </c>
      <c r="J18">
        <f t="shared" si="28"/>
        <v>2</v>
      </c>
      <c r="K18">
        <f t="shared" si="28"/>
        <v>4</v>
      </c>
      <c r="L18">
        <f t="shared" si="28"/>
        <v>-15</v>
      </c>
      <c r="M18">
        <f t="shared" si="28"/>
        <v>1</v>
      </c>
      <c r="O18" t="str">
        <f>F18</f>
        <v>Antonio M. Caro</v>
      </c>
      <c r="P18">
        <f>VLOOKUP(O18,$F$16:$M$25,8,FALSE)</f>
        <v>1</v>
      </c>
      <c r="S18" t="str">
        <f>IF($P18&lt;=$P16,$O18,$O16)</f>
        <v>Antonio M. Caro</v>
      </c>
      <c r="T18">
        <f>VLOOKUP(S18,$O$16:$P$25,2,FALSE)</f>
        <v>1</v>
      </c>
      <c r="W18" t="str">
        <f>S18</f>
        <v>Antonio M. Caro</v>
      </c>
      <c r="X18">
        <f>VLOOKUP(W18,$S$16:$T$25,2,FALSE)</f>
        <v>1</v>
      </c>
      <c r="AA18" t="str">
        <f>IF(X18&lt;=X17,W18,W17)</f>
        <v>Antonio M. Caro</v>
      </c>
      <c r="AB18">
        <f>VLOOKUP(AA18,W16:X25,2,FALSE)</f>
        <v>1</v>
      </c>
      <c r="AE18" t="str">
        <f>AA18</f>
        <v>Antonio M. Caro</v>
      </c>
      <c r="AF18">
        <f>VLOOKUP(AE18,AA16:AB25,2,FALSE)</f>
        <v>1</v>
      </c>
      <c r="AI18" t="str">
        <f>IF(AF18&gt;=AF19,AE18,AE19)</f>
        <v>Antonio M. Caro</v>
      </c>
      <c r="AJ18">
        <f>VLOOKUP(AI18,AE16:AF25,2,FALSE)</f>
        <v>1</v>
      </c>
    </row>
    <row r="19" spans="6:37" x14ac:dyDescent="0.2">
      <c r="F19" t="str">
        <f>AB2</f>
        <v>Jesús García</v>
      </c>
      <c r="G19">
        <f t="shared" ref="G19:M19" si="29">AB10</f>
        <v>3</v>
      </c>
      <c r="H19">
        <f t="shared" si="29"/>
        <v>0</v>
      </c>
      <c r="I19">
        <f t="shared" si="29"/>
        <v>3</v>
      </c>
      <c r="J19">
        <f t="shared" si="29"/>
        <v>0</v>
      </c>
      <c r="K19">
        <f t="shared" si="29"/>
        <v>6</v>
      </c>
      <c r="L19">
        <f t="shared" si="29"/>
        <v>-24</v>
      </c>
      <c r="M19">
        <f t="shared" si="29"/>
        <v>0</v>
      </c>
      <c r="O19" t="str">
        <f>F19</f>
        <v>Jesús García</v>
      </c>
      <c r="P19">
        <f>VLOOKUP(O19,$F$16:$M$25,8,FALSE)</f>
        <v>0</v>
      </c>
      <c r="S19" t="str">
        <f>O19</f>
        <v>Jesús García</v>
      </c>
      <c r="T19">
        <f>VLOOKUP(S19,$O$16:$P$25,2,FALSE)</f>
        <v>0</v>
      </c>
      <c r="W19" t="str">
        <f>IF($T19&lt;=$T16,$S19,$S16)</f>
        <v>Jesús García</v>
      </c>
      <c r="X19">
        <f>VLOOKUP(W19,$S$16:$T$25,2,FALSE)</f>
        <v>0</v>
      </c>
      <c r="AA19" t="str">
        <f>W19</f>
        <v>Jesús García</v>
      </c>
      <c r="AB19">
        <f>VLOOKUP(AA19,W16:X25,2,FALSE)</f>
        <v>0</v>
      </c>
      <c r="AE19" t="str">
        <f>IF(AB19&lt;=AB17,AA19,AA17)</f>
        <v>Jesús García</v>
      </c>
      <c r="AF19">
        <f>VLOOKUP(AE19,AA16:AB25,2,FALSE)</f>
        <v>0</v>
      </c>
      <c r="AI19" t="str">
        <f>IF(AF19&lt;=AF18,AE19,AE18)</f>
        <v>Jesús García</v>
      </c>
      <c r="AJ19">
        <f>VLOOKUP(AI19,AE16:AF25,2,FALSE)</f>
        <v>0</v>
      </c>
    </row>
    <row r="27" spans="6:37" x14ac:dyDescent="0.2">
      <c r="J27" t="s">
        <v>6</v>
      </c>
      <c r="K27" t="s">
        <v>62</v>
      </c>
      <c r="L27" t="s">
        <v>63</v>
      </c>
      <c r="M27" t="s">
        <v>73</v>
      </c>
      <c r="P27" t="s">
        <v>6</v>
      </c>
      <c r="Q27" t="s">
        <v>73</v>
      </c>
      <c r="T27" t="s">
        <v>6</v>
      </c>
      <c r="U27" t="s">
        <v>73</v>
      </c>
      <c r="X27" t="s">
        <v>6</v>
      </c>
      <c r="Y27" t="s">
        <v>73</v>
      </c>
      <c r="AB27" t="s">
        <v>6</v>
      </c>
      <c r="AC27" t="s">
        <v>73</v>
      </c>
      <c r="AF27" t="s">
        <v>6</v>
      </c>
      <c r="AG27" t="s">
        <v>73</v>
      </c>
      <c r="AJ27" t="s">
        <v>6</v>
      </c>
      <c r="AK27" t="s">
        <v>73</v>
      </c>
    </row>
    <row r="28" spans="6:37" x14ac:dyDescent="0.2">
      <c r="F28" t="str">
        <f>AI16</f>
        <v>Sergio Soriano</v>
      </c>
      <c r="J28">
        <f>AJ16</f>
        <v>3</v>
      </c>
      <c r="K28">
        <f>VLOOKUP(AI16,$F$16:$M$25,5,FALSE)</f>
        <v>6</v>
      </c>
      <c r="L28">
        <f>VLOOKUP(AI16,$F$16:$M$25,6,FALSE)</f>
        <v>1</v>
      </c>
      <c r="M28">
        <f>K28-L28</f>
        <v>5</v>
      </c>
      <c r="O28" t="str">
        <f>IF(AND($J28=$J29,$M29&gt;$M28),$F29,$F28)</f>
        <v>Sergio Soriano</v>
      </c>
      <c r="P28">
        <f>VLOOKUP(O28,$F$28:$M$37,5,FALSE)</f>
        <v>3</v>
      </c>
      <c r="Q28">
        <f>VLOOKUP(O28,$F$28:$M$37,8,FALSE)</f>
        <v>5</v>
      </c>
      <c r="S28" t="str">
        <f>IF(AND(P28=P30,Q30&gt;Q28),O30,O28)</f>
        <v>Sergio Soriano</v>
      </c>
      <c r="T28">
        <f>VLOOKUP(S28,$O$28:$Q$37,2,FALSE)</f>
        <v>3</v>
      </c>
      <c r="U28">
        <f>VLOOKUP(S28,$O$28:$Q$37,3,FALSE)</f>
        <v>5</v>
      </c>
      <c r="W28" t="str">
        <f>IF(AND(T28=T31,U31&gt;U28),S31,S28)</f>
        <v>Sergio Soriano</v>
      </c>
      <c r="X28">
        <f>VLOOKUP(W28,$S$28:$U$37,2,FALSE)</f>
        <v>3</v>
      </c>
      <c r="Y28">
        <f>VLOOKUP(W28,$S$28:$U$37,3,FALSE)</f>
        <v>5</v>
      </c>
      <c r="AA28" t="str">
        <f>W28</f>
        <v>Sergio Soriano</v>
      </c>
      <c r="AB28">
        <f>VLOOKUP(AA28,W28:Y37,2,FALSE)</f>
        <v>3</v>
      </c>
      <c r="AC28">
        <f>VLOOKUP(AA28,W28:Y37,3,FALSE)</f>
        <v>5</v>
      </c>
      <c r="AE28" t="str">
        <f>AA28</f>
        <v>Sergio Soriano</v>
      </c>
      <c r="AF28">
        <f>VLOOKUP(AE28,AA28:AC37,2,FALSE)</f>
        <v>3</v>
      </c>
      <c r="AG28">
        <f>VLOOKUP(AE28,AA28:AC37,3,FALSE)</f>
        <v>5</v>
      </c>
      <c r="AI28" t="str">
        <f>AE28</f>
        <v>Sergio Soriano</v>
      </c>
      <c r="AJ28">
        <f>VLOOKUP(AI28,AE28:AG37,2,FALSE)</f>
        <v>3</v>
      </c>
      <c r="AK28">
        <f>VLOOKUP(AI28,AE28:AG37,3,FALSE)</f>
        <v>5</v>
      </c>
    </row>
    <row r="29" spans="6:37" x14ac:dyDescent="0.2">
      <c r="F29" t="str">
        <f>AI17</f>
        <v>José de Castro</v>
      </c>
      <c r="J29">
        <f>AJ17</f>
        <v>2</v>
      </c>
      <c r="K29">
        <f>VLOOKUP(AI17,$F$16:$M$25,5,FALSE)</f>
        <v>5</v>
      </c>
      <c r="L29">
        <f>VLOOKUP(AI17,$F$16:$M$25,6,FALSE)</f>
        <v>2</v>
      </c>
      <c r="M29">
        <f>K29-L29</f>
        <v>3</v>
      </c>
      <c r="O29" t="str">
        <f>IF(AND($J28=$J29,$M29&gt;$M28),$F28,$F29)</f>
        <v>José de Castro</v>
      </c>
      <c r="P29">
        <f>VLOOKUP(O29,$F$28:$M$37,5,FALSE)</f>
        <v>2</v>
      </c>
      <c r="Q29">
        <f>VLOOKUP(O29,$F$28:$M$37,8,FALSE)</f>
        <v>3</v>
      </c>
      <c r="S29" t="str">
        <f>O29</f>
        <v>José de Castro</v>
      </c>
      <c r="T29">
        <f>VLOOKUP(S29,$O$28:$Q$37,2,FALSE)</f>
        <v>2</v>
      </c>
      <c r="U29">
        <f>VLOOKUP(S29,$O$28:$Q$37,3,FALSE)</f>
        <v>3</v>
      </c>
      <c r="W29" t="str">
        <f>S29</f>
        <v>José de Castro</v>
      </c>
      <c r="X29">
        <f>VLOOKUP(W29,$S$28:$U$37,2,FALSE)</f>
        <v>2</v>
      </c>
      <c r="Y29">
        <f>VLOOKUP(W29,$S$28:$U$37,3,FALSE)</f>
        <v>3</v>
      </c>
      <c r="AA29" t="str">
        <f>IF(AND(X29=X30,Y30&gt;Y29),W30,W29)</f>
        <v>José de Castro</v>
      </c>
      <c r="AB29">
        <f>VLOOKUP(AA29,W28:Y37,2,FALSE)</f>
        <v>2</v>
      </c>
      <c r="AC29">
        <f>VLOOKUP(AA29,W28:Y37,3,FALSE)</f>
        <v>3</v>
      </c>
      <c r="AE29" t="str">
        <f>IF(AND(AB29=AB31,AC31&gt;AC29),AA31,AA29)</f>
        <v>José de Castro</v>
      </c>
      <c r="AF29">
        <f>VLOOKUP(AE29,AA28:AC37,2,FALSE)</f>
        <v>2</v>
      </c>
      <c r="AG29">
        <f>VLOOKUP(AE29,AA28:AC37,3,FALSE)</f>
        <v>3</v>
      </c>
      <c r="AI29" t="str">
        <f>AE29</f>
        <v>José de Castro</v>
      </c>
      <c r="AJ29">
        <f>VLOOKUP(AI29,AE28:AG37,2,FALSE)</f>
        <v>2</v>
      </c>
      <c r="AK29">
        <f>VLOOKUP(AI29,AE28:AG37,3,FALSE)</f>
        <v>3</v>
      </c>
    </row>
    <row r="30" spans="6:37" x14ac:dyDescent="0.2">
      <c r="F30" t="str">
        <f>AI18</f>
        <v>Antonio M. Caro</v>
      </c>
      <c r="J30">
        <f>AJ18</f>
        <v>1</v>
      </c>
      <c r="K30">
        <f>VLOOKUP(AI18,$F$16:$M$25,5,FALSE)</f>
        <v>2</v>
      </c>
      <c r="L30">
        <f>VLOOKUP(AI18,$F$16:$M$25,6,FALSE)</f>
        <v>4</v>
      </c>
      <c r="M30">
        <f>K30-L30</f>
        <v>-2</v>
      </c>
      <c r="O30" t="str">
        <f>F30</f>
        <v>Antonio M. Caro</v>
      </c>
      <c r="P30">
        <f>VLOOKUP(O30,$F$28:$M$37,5,FALSE)</f>
        <v>1</v>
      </c>
      <c r="Q30">
        <f>VLOOKUP(O30,$F$28:$M$37,8,FALSE)</f>
        <v>-2</v>
      </c>
      <c r="S30" t="str">
        <f>IF(AND($P28=P30,Q30&gt;Q28),O28,O30)</f>
        <v>Antonio M. Caro</v>
      </c>
      <c r="T30">
        <f>VLOOKUP(S30,$O$28:$Q$37,2,FALSE)</f>
        <v>1</v>
      </c>
      <c r="U30">
        <f>VLOOKUP(S30,$O$28:$Q$37,3,FALSE)</f>
        <v>-2</v>
      </c>
      <c r="W30" t="str">
        <f>S30</f>
        <v>Antonio M. Caro</v>
      </c>
      <c r="X30">
        <f>VLOOKUP(W30,$S$28:$U$37,2,FALSE)</f>
        <v>1</v>
      </c>
      <c r="Y30">
        <f>VLOOKUP(W30,$S$28:$U$37,3,FALSE)</f>
        <v>-2</v>
      </c>
      <c r="AA30" t="str">
        <f>IF(AND(X29=X30,Y30&gt;Y29),W29,W30)</f>
        <v>Antonio M. Caro</v>
      </c>
      <c r="AB30">
        <f>VLOOKUP(AA30,W28:Y37,2,FALSE)</f>
        <v>1</v>
      </c>
      <c r="AC30">
        <f>VLOOKUP(AA30,W28:Y37,3,FALSE)</f>
        <v>-2</v>
      </c>
      <c r="AE30" t="str">
        <f>AA30</f>
        <v>Antonio M. Caro</v>
      </c>
      <c r="AF30">
        <f>VLOOKUP(AE30,AA28:AC37,2,FALSE)</f>
        <v>1</v>
      </c>
      <c r="AG30">
        <f>VLOOKUP(AE30,AA28:AC37,3,FALSE)</f>
        <v>-2</v>
      </c>
      <c r="AI30" t="str">
        <f>IF(AND(AF30=AF31,AG31&gt;AG30),AE31,AE30)</f>
        <v>Antonio M. Caro</v>
      </c>
      <c r="AJ30">
        <f>VLOOKUP(AI30,AE28:AG37,2,FALSE)</f>
        <v>1</v>
      </c>
      <c r="AK30">
        <f>VLOOKUP(AI30,AE28:AG37,3,FALSE)</f>
        <v>-2</v>
      </c>
    </row>
    <row r="31" spans="6:37" x14ac:dyDescent="0.2">
      <c r="F31" t="str">
        <f>AI19</f>
        <v>Jesús García</v>
      </c>
      <c r="J31">
        <f>AJ19</f>
        <v>0</v>
      </c>
      <c r="K31">
        <f>VLOOKUP(AI19,$F$16:$M$25,5,FALSE)</f>
        <v>0</v>
      </c>
      <c r="L31">
        <f>VLOOKUP(AI19,$F$16:$M$25,6,FALSE)</f>
        <v>6</v>
      </c>
      <c r="M31">
        <f>K31-L31</f>
        <v>-6</v>
      </c>
      <c r="O31" t="str">
        <f>F31</f>
        <v>Jesús García</v>
      </c>
      <c r="P31">
        <f>VLOOKUP(O31,$F$28:$M$37,5,FALSE)</f>
        <v>0</v>
      </c>
      <c r="Q31">
        <f>VLOOKUP(O31,$F$28:$M$37,8,FALSE)</f>
        <v>-6</v>
      </c>
      <c r="S31" t="str">
        <f>O31</f>
        <v>Jesús García</v>
      </c>
      <c r="T31">
        <f>VLOOKUP(S31,$O$28:$Q$37,2,FALSE)</f>
        <v>0</v>
      </c>
      <c r="U31">
        <f>VLOOKUP(S31,$O$28:$Q$37,3,FALSE)</f>
        <v>-6</v>
      </c>
      <c r="W31" t="str">
        <f>IF(AND(T28=T31,U31&gt;U28),S28,S31)</f>
        <v>Jesús García</v>
      </c>
      <c r="X31">
        <f>VLOOKUP(W31,$S$28:$U$37,2,FALSE)</f>
        <v>0</v>
      </c>
      <c r="Y31">
        <f>VLOOKUP(W31,$S$28:$U$37,3,FALSE)</f>
        <v>-6</v>
      </c>
      <c r="AA31" t="str">
        <f>W31</f>
        <v>Jesús García</v>
      </c>
      <c r="AB31">
        <f>VLOOKUP(AA31,W28:Y37,2,FALSE)</f>
        <v>0</v>
      </c>
      <c r="AC31">
        <f>VLOOKUP(AA31,W28:Y37,3,FALSE)</f>
        <v>-6</v>
      </c>
      <c r="AE31" t="str">
        <f>IF(AND(AB29=AB31,AC31&gt;AC29),AA29,AA31)</f>
        <v>Jesús García</v>
      </c>
      <c r="AF31">
        <f>VLOOKUP(AE31,AA28:AC37,2,FALSE)</f>
        <v>0</v>
      </c>
      <c r="AG31">
        <f>VLOOKUP(AE31,AA28:AC37,3,FALSE)</f>
        <v>-6</v>
      </c>
      <c r="AI31" t="str">
        <f>IF(AND(AF30=AF31,AG31&gt;AG30),AE30,AE31)</f>
        <v>Jesús García</v>
      </c>
      <c r="AJ31">
        <f>VLOOKUP(AI31,AE28:AG37,2,FALSE)</f>
        <v>0</v>
      </c>
      <c r="AK31">
        <f>VLOOKUP(AI31,AE28:AG37,3,FALSE)</f>
        <v>-6</v>
      </c>
    </row>
    <row r="39" spans="6:38" x14ac:dyDescent="0.2">
      <c r="J39" t="s">
        <v>6</v>
      </c>
      <c r="K39" t="s">
        <v>73</v>
      </c>
      <c r="L39" t="s">
        <v>66</v>
      </c>
      <c r="P39" t="s">
        <v>6</v>
      </c>
      <c r="Q39" t="s">
        <v>73</v>
      </c>
      <c r="R39" t="s">
        <v>66</v>
      </c>
      <c r="T39" t="s">
        <v>6</v>
      </c>
      <c r="U39" t="s">
        <v>73</v>
      </c>
      <c r="V39" t="s">
        <v>66</v>
      </c>
      <c r="X39" t="s">
        <v>6</v>
      </c>
      <c r="Y39" t="s">
        <v>73</v>
      </c>
      <c r="Z39" t="s">
        <v>66</v>
      </c>
      <c r="AB39" t="s">
        <v>6</v>
      </c>
      <c r="AC39" t="s">
        <v>73</v>
      </c>
      <c r="AD39" t="s">
        <v>66</v>
      </c>
      <c r="AF39" t="s">
        <v>6</v>
      </c>
      <c r="AG39" t="s">
        <v>73</v>
      </c>
      <c r="AH39" t="s">
        <v>66</v>
      </c>
      <c r="AJ39" t="s">
        <v>6</v>
      </c>
      <c r="AK39" t="s">
        <v>73</v>
      </c>
      <c r="AL39" t="s">
        <v>66</v>
      </c>
    </row>
    <row r="40" spans="6:38" x14ac:dyDescent="0.2">
      <c r="F40" t="str">
        <f>AI28</f>
        <v>Sergio Soriano</v>
      </c>
      <c r="J40">
        <f t="shared" ref="J40:K43" si="30">AJ28</f>
        <v>3</v>
      </c>
      <c r="K40">
        <f t="shared" si="30"/>
        <v>5</v>
      </c>
      <c r="L40">
        <f>VLOOKUP(F40,$F$16:$M$25,7,FALSE)</f>
        <v>22.009999999999998</v>
      </c>
      <c r="M40">
        <f>K40</f>
        <v>5</v>
      </c>
      <c r="O40" t="str">
        <f>IF(AND(J40=J41,K40=K41,L41&gt;L40),F41,F40)</f>
        <v>Sergio Soriano</v>
      </c>
      <c r="P40">
        <f>VLOOKUP(O40,$F$40:$M$49,5,FALSE)</f>
        <v>3</v>
      </c>
      <c r="Q40">
        <f>VLOOKUP(O40,$F$40:$M$49,6,FALSE)</f>
        <v>5</v>
      </c>
      <c r="R40">
        <f>VLOOKUP(O40,$F$40:$M$49,7,FALSE)</f>
        <v>22.009999999999998</v>
      </c>
      <c r="S40" t="str">
        <f>IF(AND(P40=P42,Q40=Q42,R42&gt;R40),O42,O40)</f>
        <v>Sergio Soriano</v>
      </c>
      <c r="T40">
        <f>VLOOKUP(S40,$O$40:$R$49,2,FALSE)</f>
        <v>3</v>
      </c>
      <c r="U40">
        <f>VLOOKUP(S40,$O$40:$R$49,3,FALSE)</f>
        <v>5</v>
      </c>
      <c r="V40">
        <f>VLOOKUP(S40,$O$40:$R$49,4,FALSE)</f>
        <v>22.009999999999998</v>
      </c>
      <c r="W40" t="str">
        <f>IF(AND(T40=T43,U40=U43,V43&gt;V40),S43,S40)</f>
        <v>Sergio Soriano</v>
      </c>
      <c r="X40">
        <f>VLOOKUP(W40,$S$40:$V$49,2,FALSE)</f>
        <v>3</v>
      </c>
      <c r="Y40">
        <f>VLOOKUP(W40,$S$40:$V$49,3,FALSE)</f>
        <v>5</v>
      </c>
      <c r="Z40">
        <f>VLOOKUP(W40,$S$40:$V$49,4,FALSE)</f>
        <v>22.009999999999998</v>
      </c>
      <c r="AA40" t="str">
        <f>W40</f>
        <v>Sergio Soriano</v>
      </c>
      <c r="AB40">
        <f>VLOOKUP(AA40,W40:Z49,2,FALSE)</f>
        <v>3</v>
      </c>
      <c r="AC40">
        <f>VLOOKUP(AA40,W40:Z49,3,FALSE)</f>
        <v>5</v>
      </c>
      <c r="AD40">
        <f>VLOOKUP(AA40,W40:Z49,4,FALSE)</f>
        <v>22.009999999999998</v>
      </c>
      <c r="AE40" t="str">
        <f>AA40</f>
        <v>Sergio Soriano</v>
      </c>
      <c r="AF40">
        <f>VLOOKUP(AE40,AA40:AD49,2,FALSE)</f>
        <v>3</v>
      </c>
      <c r="AG40">
        <f>VLOOKUP(AE40,AA40:AD49,3,FALSE)</f>
        <v>5</v>
      </c>
      <c r="AH40">
        <f>VLOOKUP(AE40,AA40:AD49,4,FALSE)</f>
        <v>22.009999999999998</v>
      </c>
      <c r="AI40" t="str">
        <f>AE40</f>
        <v>Sergio Soriano</v>
      </c>
      <c r="AJ40">
        <f>VLOOKUP(AI40,AE40:AH49,2,FALSE)</f>
        <v>3</v>
      </c>
      <c r="AK40">
        <f>VLOOKUP(AI40,AE40:AH49,3,FALSE)</f>
        <v>5</v>
      </c>
      <c r="AL40">
        <f>VLOOKUP(AI40,AE40:AH49,4,FALSE)</f>
        <v>22.009999999999998</v>
      </c>
    </row>
    <row r="41" spans="6:38" x14ac:dyDescent="0.2">
      <c r="F41" t="str">
        <f>AI29</f>
        <v>José de Castro</v>
      </c>
      <c r="J41">
        <f t="shared" si="30"/>
        <v>2</v>
      </c>
      <c r="K41">
        <f t="shared" si="30"/>
        <v>3</v>
      </c>
      <c r="L41">
        <f>VLOOKUP(F41,$F$16:$M$25,7,FALSE)</f>
        <v>16.990000000000002</v>
      </c>
      <c r="M41">
        <f>K41</f>
        <v>3</v>
      </c>
      <c r="O41" t="str">
        <f>IF(AND(J40=J41,K40=K41,L41&gt;L40),F40,F41)</f>
        <v>José de Castro</v>
      </c>
      <c r="P41">
        <f>VLOOKUP(O41,$F$40:$M$49,5,FALSE)</f>
        <v>2</v>
      </c>
      <c r="Q41">
        <f>VLOOKUP(O41,$F$40:$M$49,6,FALSE)</f>
        <v>3</v>
      </c>
      <c r="R41">
        <f>VLOOKUP(O41,$F$40:$M$49,7,FALSE)</f>
        <v>16.990000000000002</v>
      </c>
      <c r="S41" t="str">
        <f>O41</f>
        <v>José de Castro</v>
      </c>
      <c r="T41">
        <f>VLOOKUP(S41,$O$40:$R$49,2,FALSE)</f>
        <v>2</v>
      </c>
      <c r="U41">
        <f>VLOOKUP(S41,$O$40:$R$49,3,FALSE)</f>
        <v>3</v>
      </c>
      <c r="V41">
        <f>VLOOKUP(S41,$O$40:$R$49,4,FALSE)</f>
        <v>16.990000000000002</v>
      </c>
      <c r="W41" t="str">
        <f>S41</f>
        <v>José de Castro</v>
      </c>
      <c r="X41">
        <f>VLOOKUP(W41,$S$40:$V$49,2,FALSE)</f>
        <v>2</v>
      </c>
      <c r="Y41">
        <f>VLOOKUP(W41,$S$40:$V$49,3,FALSE)</f>
        <v>3</v>
      </c>
      <c r="Z41">
        <f>VLOOKUP(W41,$S$40:$V$49,4,FALSE)</f>
        <v>16.990000000000002</v>
      </c>
      <c r="AA41" t="str">
        <f>IF(AND(X41=X42,Y41=Y42,Z42&gt;Z41),W42,W41)</f>
        <v>José de Castro</v>
      </c>
      <c r="AB41">
        <f>VLOOKUP(AA41,W40:Z49,2,FALSE)</f>
        <v>2</v>
      </c>
      <c r="AC41">
        <f>VLOOKUP(AA41,W40:Z49,3,FALSE)</f>
        <v>3</v>
      </c>
      <c r="AD41">
        <f>VLOOKUP(AA41,W40:Z49,4,FALSE)</f>
        <v>16.990000000000002</v>
      </c>
      <c r="AE41" t="str">
        <f>IF(AND(AB41=AB43,AC41=AC43,AD43&gt;AD41),AA43,AA41)</f>
        <v>José de Castro</v>
      </c>
      <c r="AF41">
        <f>VLOOKUP(AE41,AA40:AD49,2,FALSE)</f>
        <v>2</v>
      </c>
      <c r="AG41">
        <f>VLOOKUP(AE41,AA40:AD49,3,FALSE)</f>
        <v>3</v>
      </c>
      <c r="AH41">
        <f>VLOOKUP(AE41,AA40:AD49,4,FALSE)</f>
        <v>16.990000000000002</v>
      </c>
      <c r="AI41" t="str">
        <f>AE41</f>
        <v>José de Castro</v>
      </c>
      <c r="AJ41">
        <f>VLOOKUP(AI41,AE40:AH49,2,FALSE)</f>
        <v>2</v>
      </c>
      <c r="AK41">
        <f>VLOOKUP(AI41,AE40:AH49,3,FALSE)</f>
        <v>3</v>
      </c>
      <c r="AL41">
        <f>VLOOKUP(AI41,AE40:AH49,4,FALSE)</f>
        <v>16.990000000000002</v>
      </c>
    </row>
    <row r="42" spans="6:38" x14ac:dyDescent="0.2">
      <c r="F42" t="str">
        <f>AI30</f>
        <v>Antonio M. Caro</v>
      </c>
      <c r="J42">
        <f t="shared" si="30"/>
        <v>1</v>
      </c>
      <c r="K42">
        <f t="shared" si="30"/>
        <v>-2</v>
      </c>
      <c r="L42">
        <f>VLOOKUP(F42,$F$16:$M$25,7,FALSE)</f>
        <v>-15</v>
      </c>
      <c r="M42">
        <f>K42</f>
        <v>-2</v>
      </c>
      <c r="O42" t="str">
        <f>F42</f>
        <v>Antonio M. Caro</v>
      </c>
      <c r="P42">
        <f>VLOOKUP(O42,$F$40:$M$49,5,FALSE)</f>
        <v>1</v>
      </c>
      <c r="Q42">
        <f>VLOOKUP(O42,$F$40:$M$49,6,FALSE)</f>
        <v>-2</v>
      </c>
      <c r="R42">
        <f>VLOOKUP(O42,$F$40:$M$49,7,FALSE)</f>
        <v>-15</v>
      </c>
      <c r="S42" t="str">
        <f>IF(AND(P40=P42,Q40=Q42,R42&gt;R40),O40,O42)</f>
        <v>Antonio M. Caro</v>
      </c>
      <c r="T42">
        <f>VLOOKUP(S42,$O$40:$R$49,2,FALSE)</f>
        <v>1</v>
      </c>
      <c r="U42">
        <f>VLOOKUP(S42,$O$40:$R$49,3,FALSE)</f>
        <v>-2</v>
      </c>
      <c r="V42">
        <f>VLOOKUP(S42,$O$40:$R$49,4,FALSE)</f>
        <v>-15</v>
      </c>
      <c r="W42" t="str">
        <f>S42</f>
        <v>Antonio M. Caro</v>
      </c>
      <c r="X42">
        <f>VLOOKUP(W42,$S$40:$V$49,2,FALSE)</f>
        <v>1</v>
      </c>
      <c r="Y42">
        <f>VLOOKUP(W42,$S$40:$V$49,3,FALSE)</f>
        <v>-2</v>
      </c>
      <c r="Z42">
        <f>VLOOKUP(W42,$S$40:$V$49,4,FALSE)</f>
        <v>-15</v>
      </c>
      <c r="AA42" t="str">
        <f>IF(AND(X41=X42,Y41=Y42,Z42&gt;Z41),W41,W42)</f>
        <v>Antonio M. Caro</v>
      </c>
      <c r="AB42">
        <f>VLOOKUP(AA42,W40:Z49,2,FALSE)</f>
        <v>1</v>
      </c>
      <c r="AC42">
        <f>VLOOKUP(AA42,W40:Z49,3,FALSE)</f>
        <v>-2</v>
      </c>
      <c r="AD42">
        <f>VLOOKUP(AA42,W40:Z49,4,FALSE)</f>
        <v>-15</v>
      </c>
      <c r="AE42" t="str">
        <f>AA42</f>
        <v>Antonio M. Caro</v>
      </c>
      <c r="AF42">
        <f>VLOOKUP(AE42,AA40:AD49,2,FALSE)</f>
        <v>1</v>
      </c>
      <c r="AG42">
        <f>VLOOKUP(AE42,AA40:AD49,3,FALSE)</f>
        <v>-2</v>
      </c>
      <c r="AH42">
        <f>VLOOKUP(AE42,AA40:AD49,4,FALSE)</f>
        <v>-15</v>
      </c>
      <c r="AI42" t="str">
        <f>IF(AND(AF42=AF43,AG42=AG43,AH43&gt;AH42),AE43,AE42)</f>
        <v>Antonio M. Caro</v>
      </c>
      <c r="AJ42">
        <f>VLOOKUP(AI42,AE40:AH49,2,FALSE)</f>
        <v>1</v>
      </c>
      <c r="AK42">
        <f>VLOOKUP(AI42,AE40:AH49,3,FALSE)</f>
        <v>-2</v>
      </c>
      <c r="AL42">
        <f>VLOOKUP(AI42,AE40:AH49,4,FALSE)</f>
        <v>-15</v>
      </c>
    </row>
    <row r="43" spans="6:38" x14ac:dyDescent="0.2">
      <c r="F43" t="str">
        <f>AI31</f>
        <v>Jesús García</v>
      </c>
      <c r="J43">
        <f t="shared" si="30"/>
        <v>0</v>
      </c>
      <c r="K43">
        <f t="shared" si="30"/>
        <v>-6</v>
      </c>
      <c r="L43">
        <f>VLOOKUP(F43,$F$16:$M$25,7,FALSE)</f>
        <v>-24</v>
      </c>
      <c r="M43">
        <f>K43</f>
        <v>-6</v>
      </c>
      <c r="O43" t="str">
        <f>F43</f>
        <v>Jesús García</v>
      </c>
      <c r="P43">
        <f>VLOOKUP(O43,$F$40:$M$49,5,FALSE)</f>
        <v>0</v>
      </c>
      <c r="Q43">
        <f>VLOOKUP(O43,$F$40:$M$49,6,FALSE)</f>
        <v>-6</v>
      </c>
      <c r="R43">
        <f>VLOOKUP(O43,$F$40:$M$49,7,FALSE)</f>
        <v>-24</v>
      </c>
      <c r="S43" t="str">
        <f>O43</f>
        <v>Jesús García</v>
      </c>
      <c r="T43">
        <f>VLOOKUP(S43,$O$40:$R$49,2,FALSE)</f>
        <v>0</v>
      </c>
      <c r="U43">
        <f>VLOOKUP(S43,$O$40:$R$49,3,FALSE)</f>
        <v>-6</v>
      </c>
      <c r="V43">
        <f>VLOOKUP(S43,$O$40:$R$49,4,FALSE)</f>
        <v>-24</v>
      </c>
      <c r="W43" t="str">
        <f>IF(AND(T40=T43,U40=U43,V43&gt;V40),S40,S43)</f>
        <v>Jesús García</v>
      </c>
      <c r="X43">
        <f>VLOOKUP(W43,$S$40:$V$49,2,FALSE)</f>
        <v>0</v>
      </c>
      <c r="Y43">
        <f>VLOOKUP(W43,$S$40:$V$49,3,FALSE)</f>
        <v>-6</v>
      </c>
      <c r="Z43">
        <f>VLOOKUP(W43,$S$40:$V$49,4,FALSE)</f>
        <v>-24</v>
      </c>
      <c r="AA43" t="str">
        <f>W43</f>
        <v>Jesús García</v>
      </c>
      <c r="AB43">
        <f>VLOOKUP(AA43,W40:Z49,2,FALSE)</f>
        <v>0</v>
      </c>
      <c r="AC43">
        <f>VLOOKUP(AA43,W40:Z49,3,FALSE)</f>
        <v>-6</v>
      </c>
      <c r="AD43">
        <f>VLOOKUP(AA43,W40:Z49,4,FALSE)</f>
        <v>-24</v>
      </c>
      <c r="AE43" t="str">
        <f>IF(AND(AB41=AB43,AC41=AC43,AD43&gt;AD41),AA41,AA43)</f>
        <v>Jesús García</v>
      </c>
      <c r="AF43">
        <f>VLOOKUP(AE43,AA40:AD49,2,FALSE)</f>
        <v>0</v>
      </c>
      <c r="AG43">
        <f>VLOOKUP(AE43,AA40:AD49,3,FALSE)</f>
        <v>-6</v>
      </c>
      <c r="AH43">
        <f>VLOOKUP(AE43,AA40:AD49,4,FALSE)</f>
        <v>-24</v>
      </c>
      <c r="AI43" t="str">
        <f>IF(AND(AF42=AF43,AG42=AG43,AH43&gt;AH42),AE42,AE43)</f>
        <v>Jesús García</v>
      </c>
      <c r="AJ43">
        <f>VLOOKUP(AI43,AE40:AH49,2,FALSE)</f>
        <v>0</v>
      </c>
      <c r="AK43">
        <f>VLOOKUP(AI43,AE40:AH49,3,FALSE)</f>
        <v>-6</v>
      </c>
      <c r="AL43">
        <f>VLOOKUP(AI43,AE40:AH49,4,FALSE)</f>
        <v>-24</v>
      </c>
    </row>
    <row r="51" spans="6:13" x14ac:dyDescent="0.2">
      <c r="F51" t="s">
        <v>21</v>
      </c>
      <c r="G51" t="s">
        <v>58</v>
      </c>
      <c r="H51" t="s">
        <v>59</v>
      </c>
      <c r="I51" t="s">
        <v>5</v>
      </c>
      <c r="J51" t="s">
        <v>62</v>
      </c>
      <c r="K51" t="s">
        <v>63</v>
      </c>
      <c r="L51" t="s">
        <v>66</v>
      </c>
      <c r="M51" t="s">
        <v>6</v>
      </c>
    </row>
    <row r="52" spans="6:13" x14ac:dyDescent="0.2">
      <c r="F52" t="str">
        <f>AI40</f>
        <v>Sergio Soriano</v>
      </c>
      <c r="G52">
        <f>VLOOKUP(F52,$F$16:$M$25,2,FALSE)</f>
        <v>3</v>
      </c>
      <c r="H52">
        <f>VLOOKUP(F52,$F$16:$M$25,3,FALSE)</f>
        <v>3</v>
      </c>
      <c r="I52">
        <f>VLOOKUP(F52,$F$16:$M$25,4,FALSE)</f>
        <v>0</v>
      </c>
      <c r="J52">
        <f>VLOOKUP(F52,$F$16:$M$25,5,FALSE)</f>
        <v>6</v>
      </c>
      <c r="K52">
        <f>VLOOKUP(F52,$F$16:$M$25,6,FALSE)</f>
        <v>1</v>
      </c>
      <c r="L52">
        <f>VLOOKUP(F52,$F$16:$M$25,7,FALSE)</f>
        <v>22.009999999999998</v>
      </c>
      <c r="M52">
        <f>VLOOKUP(F52,$F$16:$M$25,8,FALSE)</f>
        <v>3</v>
      </c>
    </row>
    <row r="53" spans="6:13" x14ac:dyDescent="0.2">
      <c r="F53" t="str">
        <f>AI41</f>
        <v>José de Castro</v>
      </c>
      <c r="G53">
        <f>VLOOKUP(F53,$F$16:$M$25,2,FALSE)</f>
        <v>3</v>
      </c>
      <c r="H53">
        <f>VLOOKUP(F53,$F$16:$M$25,3,FALSE)</f>
        <v>2</v>
      </c>
      <c r="I53">
        <f>VLOOKUP(F53,$F$16:$M$25,4,FALSE)</f>
        <v>1</v>
      </c>
      <c r="J53">
        <f>VLOOKUP(F53,$F$16:$M$25,5,FALSE)</f>
        <v>5</v>
      </c>
      <c r="K53">
        <f>VLOOKUP(F53,$F$16:$M$25,6,FALSE)</f>
        <v>2</v>
      </c>
      <c r="L53">
        <f>VLOOKUP(F53,$F$16:$M$25,7,FALSE)</f>
        <v>16.990000000000002</v>
      </c>
      <c r="M53">
        <f>VLOOKUP(F53,$F$16:$M$25,8,FALSE)</f>
        <v>2</v>
      </c>
    </row>
    <row r="54" spans="6:13" x14ac:dyDescent="0.2">
      <c r="F54" t="str">
        <f>AI42</f>
        <v>Antonio M. Caro</v>
      </c>
      <c r="G54">
        <f>VLOOKUP(F54,$F$16:$M$25,2,FALSE)</f>
        <v>3</v>
      </c>
      <c r="H54">
        <f>VLOOKUP(F54,$F$16:$M$25,3,FALSE)</f>
        <v>1</v>
      </c>
      <c r="I54">
        <f>VLOOKUP(F54,$F$16:$M$25,4,FALSE)</f>
        <v>2</v>
      </c>
      <c r="J54">
        <f>VLOOKUP(F54,$F$16:$M$25,5,FALSE)</f>
        <v>2</v>
      </c>
      <c r="K54">
        <f>VLOOKUP(F54,$F$16:$M$25,6,FALSE)</f>
        <v>4</v>
      </c>
      <c r="L54">
        <f>VLOOKUP(F54,$F$16:$M$25,7,FALSE)</f>
        <v>-15</v>
      </c>
      <c r="M54">
        <f>VLOOKUP(F54,$F$16:$M$25,8,FALSE)</f>
        <v>1</v>
      </c>
    </row>
    <row r="55" spans="6:13" x14ac:dyDescent="0.2">
      <c r="F55" t="str">
        <f>AI43</f>
        <v>Jesús García</v>
      </c>
      <c r="G55">
        <f>VLOOKUP(F55,$F$16:$M$25,2,FALSE)</f>
        <v>3</v>
      </c>
      <c r="H55">
        <f>VLOOKUP(F55,$F$16:$M$25,3,FALSE)</f>
        <v>0</v>
      </c>
      <c r="I55">
        <f>VLOOKUP(F55,$F$16:$M$25,4,FALSE)</f>
        <v>3</v>
      </c>
      <c r="J55">
        <f>VLOOKUP(F55,$F$16:$M$25,5,FALSE)</f>
        <v>0</v>
      </c>
      <c r="K55">
        <f>VLOOKUP(F55,$F$16:$M$25,6,FALSE)</f>
        <v>6</v>
      </c>
      <c r="L55">
        <f>VLOOKUP(F55,$F$16:$M$25,7,FALSE)</f>
        <v>-24</v>
      </c>
      <c r="M55">
        <f>VLOOKUP(F55,$F$16:$M$25,8,FALSE)</f>
        <v>0</v>
      </c>
    </row>
  </sheetData>
  <sheetProtection sheet="1" objects="1" scenarios="1"/>
  <mergeCells count="1">
    <mergeCell ref="A2:E2"/>
  </mergeCells>
  <phoneticPr fontId="2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Menu</vt:lpstr>
      <vt:lpstr>Estadio</vt:lpstr>
      <vt:lpstr>- A -</vt:lpstr>
      <vt:lpstr>- B -</vt:lpstr>
      <vt:lpstr>Semifinal</vt:lpstr>
      <vt:lpstr>3er puesto y FINAL</vt:lpstr>
      <vt:lpstr>Resumen</vt:lpstr>
      <vt:lpstr>Historia</vt:lpstr>
      <vt:lpstr>calculoA</vt:lpstr>
      <vt:lpstr>calculoB</vt:lpstr>
      <vt:lpstr>cálculo A+B</vt:lpstr>
      <vt:lpstr>'3er puesto y FINAL'!Área_de_impresión</vt:lpstr>
      <vt:lpstr>Estadio!Área_de_impresión</vt:lpstr>
      <vt:lpstr>Menu!Área_de_impresión</vt:lpstr>
      <vt:lpstr>Resumen!Área_de_impresión</vt:lpstr>
      <vt:lpstr>Semifinal!Área_de_impresión</vt:lpstr>
    </vt:vector>
  </TitlesOfParts>
  <Manager>Pablo Camino</Manager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Copa Master C. T. Linares</dc:title>
  <dc:creator>Jesús Cabello</dc:creator>
  <cp:lastModifiedBy>JESUS</cp:lastModifiedBy>
  <cp:lastPrinted>2021-12-18T11:22:54Z</cp:lastPrinted>
  <dcterms:created xsi:type="dcterms:W3CDTF">2001-10-15T19:26:14Z</dcterms:created>
  <dcterms:modified xsi:type="dcterms:W3CDTF">2021-12-18T11:33:04Z</dcterms:modified>
</cp:coreProperties>
</file>